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shihmw\Desktop\Admin Policy\701-22\"/>
    </mc:Choice>
  </mc:AlternateContent>
  <xr:revisionPtr revIDLastSave="0" documentId="8_{94F653D6-7F28-4013-BADF-E78AE4634637}" xr6:coauthVersionLast="47" xr6:coauthVersionMax="47" xr10:uidLastSave="{00000000-0000-0000-0000-000000000000}"/>
  <bookViews>
    <workbookView xWindow="-120" yWindow="-120" windowWidth="29040" windowHeight="17640" xr2:uid="{00000000-000D-0000-FFFF-FFFF00000000}"/>
  </bookViews>
  <sheets>
    <sheet name="Per Unit Rate Calculations" sheetId="9" r:id="rId1"/>
    <sheet name="Depreciation" sheetId="11" r:id="rId2"/>
    <sheet name="Per Hour Rate Calculations" sheetId="10" r:id="rId3"/>
    <sheet name="Mark-up" sheetId="12" r:id="rId4"/>
    <sheet name="Statement of Operations" sheetId="6" r:id="rId5"/>
  </sheets>
  <externalReferences>
    <externalReference r:id="rId6"/>
  </externalReferences>
  <definedNames>
    <definedName name="Deficit__Surplus" localSheetId="1">[1]LABOR!$B$25</definedName>
    <definedName name="Deficit__Surplus">[1]LABOR!$B$25</definedName>
    <definedName name="depre_98_99" localSheetId="1">[1]DEPREC!$AC$55</definedName>
    <definedName name="depre_98_99">[1]DEPREC!$AC$55</definedName>
    <definedName name="_xlnm.Print_Area" localSheetId="1">Depreciation!$A$1:$K$23</definedName>
    <definedName name="_xlnm.Print_Area" localSheetId="2">'Per Hour Rate Calculations'!$A$1:$N$38</definedName>
    <definedName name="_xlnm.Print_Area" localSheetId="0">'Per Unit Rate Calculations'!$A$1:$I$38</definedName>
    <definedName name="_xlnm.Print_Area" localSheetId="4">'Statement of Operations'!$A$1:$I$59</definedName>
    <definedName name="_xlnm.Print_Titles" localSheetId="1">Depreciation!$A:$B,Depreciation!$1:$8</definedName>
    <definedName name="time_period" localSheetId="1">[1]LABOR!$A$36</definedName>
    <definedName name="time_period">[1]LABOR!$A$36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10" l="1"/>
  <c r="B53" i="6"/>
  <c r="D53" i="6"/>
  <c r="C53" i="6"/>
  <c r="E9" i="6"/>
  <c r="E53" i="6" l="1"/>
  <c r="B3" i="12"/>
  <c r="B2" i="12"/>
  <c r="H31" i="12"/>
  <c r="C14" i="12"/>
  <c r="E13" i="12"/>
  <c r="G13" i="12" s="1"/>
  <c r="H13" i="12" s="1"/>
  <c r="E12" i="12"/>
  <c r="G12" i="12" s="1"/>
  <c r="E11" i="12"/>
  <c r="E10" i="12"/>
  <c r="E14" i="12" l="1"/>
  <c r="H21" i="12"/>
  <c r="H12" i="12"/>
  <c r="G11" i="12"/>
  <c r="H11" i="12" s="1"/>
  <c r="G10" i="12"/>
  <c r="B3" i="6"/>
  <c r="B4" i="6"/>
  <c r="C4" i="11"/>
  <c r="B4" i="10"/>
  <c r="C3" i="11"/>
  <c r="H37" i="9"/>
  <c r="B3" i="10"/>
  <c r="G14" i="12" l="1"/>
  <c r="H10" i="12"/>
  <c r="H14" i="12" s="1"/>
  <c r="H25" i="12" s="1"/>
  <c r="H33" i="12" s="1"/>
  <c r="H34" i="12" s="1"/>
  <c r="F11" i="6"/>
  <c r="F10" i="6"/>
  <c r="D11" i="6"/>
  <c r="C11" i="6" s="1"/>
  <c r="D10" i="6"/>
  <c r="C10" i="6" s="1"/>
  <c r="C9" i="6"/>
  <c r="E14" i="10" l="1"/>
  <c r="E13" i="10"/>
  <c r="E12" i="10"/>
  <c r="G12" i="10" s="1"/>
  <c r="E11" i="10"/>
  <c r="E15" i="10" s="1"/>
  <c r="E14" i="9"/>
  <c r="E13" i="9"/>
  <c r="E12" i="9"/>
  <c r="G12" i="9" s="1"/>
  <c r="E11" i="9"/>
  <c r="A18" i="10"/>
  <c r="D14" i="11"/>
  <c r="C44" i="6"/>
  <c r="E44" i="6" s="1"/>
  <c r="A44" i="6"/>
  <c r="A45" i="6"/>
  <c r="I11" i="11"/>
  <c r="I10" i="11"/>
  <c r="K10" i="11" s="1"/>
  <c r="A17" i="10"/>
  <c r="A12" i="10"/>
  <c r="B12" i="10"/>
  <c r="A13" i="10"/>
  <c r="B13" i="10"/>
  <c r="A14" i="10"/>
  <c r="B14" i="10"/>
  <c r="B11" i="10"/>
  <c r="A11" i="10"/>
  <c r="A43" i="6"/>
  <c r="D49" i="6"/>
  <c r="C49" i="6"/>
  <c r="E49" i="6" s="1"/>
  <c r="A39" i="6"/>
  <c r="B39" i="6"/>
  <c r="A38" i="6"/>
  <c r="B38" i="6"/>
  <c r="C15" i="10"/>
  <c r="H17" i="10" s="1"/>
  <c r="C15" i="9"/>
  <c r="H17" i="9" s="1"/>
  <c r="C43" i="6" s="1"/>
  <c r="D29" i="6"/>
  <c r="D22" i="6"/>
  <c r="D23" i="6"/>
  <c r="D24" i="6"/>
  <c r="D21" i="6"/>
  <c r="D20" i="6"/>
  <c r="C24" i="6"/>
  <c r="B24" i="6"/>
  <c r="A24" i="6"/>
  <c r="C23" i="6"/>
  <c r="B23" i="6"/>
  <c r="A23" i="6"/>
  <c r="L12" i="10"/>
  <c r="K12" i="10"/>
  <c r="J12" i="10"/>
  <c r="I12" i="10"/>
  <c r="L14" i="10"/>
  <c r="L13" i="10"/>
  <c r="K14" i="10"/>
  <c r="K13" i="10"/>
  <c r="J14" i="10"/>
  <c r="J13" i="10"/>
  <c r="I14" i="10"/>
  <c r="M14" i="10" s="1"/>
  <c r="I13" i="10"/>
  <c r="M13" i="10" s="1"/>
  <c r="L11" i="10"/>
  <c r="K11" i="10"/>
  <c r="J11" i="10"/>
  <c r="I11" i="10"/>
  <c r="B37" i="6"/>
  <c r="B36" i="6"/>
  <c r="A37" i="6"/>
  <c r="A36" i="6"/>
  <c r="C22" i="6"/>
  <c r="C21" i="6"/>
  <c r="C29" i="6"/>
  <c r="C20" i="6"/>
  <c r="B22" i="6"/>
  <c r="B21" i="6"/>
  <c r="A22" i="6"/>
  <c r="A21" i="6"/>
  <c r="I14" i="11" l="1"/>
  <c r="M12" i="10"/>
  <c r="N12" i="10" s="1"/>
  <c r="M11" i="10"/>
  <c r="N11" i="10" s="1"/>
  <c r="E22" i="6"/>
  <c r="K11" i="11"/>
  <c r="E24" i="6"/>
  <c r="E21" i="6"/>
  <c r="D43" i="6"/>
  <c r="D47" i="6" s="1"/>
  <c r="H21" i="10"/>
  <c r="H12" i="10"/>
  <c r="D37" i="6" s="1"/>
  <c r="N13" i="10"/>
  <c r="E23" i="6"/>
  <c r="H12" i="9"/>
  <c r="C37" i="6" s="1"/>
  <c r="E15" i="9"/>
  <c r="N14" i="10"/>
  <c r="G13" i="9"/>
  <c r="H13" i="9" s="1"/>
  <c r="C38" i="6" s="1"/>
  <c r="G13" i="10"/>
  <c r="H13" i="10" s="1"/>
  <c r="D38" i="6" s="1"/>
  <c r="G14" i="9"/>
  <c r="H14" i="9" s="1"/>
  <c r="C39" i="6" s="1"/>
  <c r="G14" i="10"/>
  <c r="H14" i="10" s="1"/>
  <c r="D39" i="6" s="1"/>
  <c r="K14" i="11"/>
  <c r="H19" i="9" s="1"/>
  <c r="G11" i="9"/>
  <c r="H11" i="9" s="1"/>
  <c r="G11" i="10"/>
  <c r="G15" i="10" s="1"/>
  <c r="E43" i="6" l="1"/>
  <c r="E37" i="6"/>
  <c r="E39" i="6"/>
  <c r="H11" i="10"/>
  <c r="H15" i="10" s="1"/>
  <c r="H25" i="10" s="1"/>
  <c r="E38" i="6"/>
  <c r="C36" i="6"/>
  <c r="H15" i="9"/>
  <c r="N15" i="10"/>
  <c r="H32" i="10" s="1"/>
  <c r="E11" i="6" s="1"/>
  <c r="G15" i="9"/>
  <c r="H29" i="10" l="1"/>
  <c r="H34" i="10" s="1"/>
  <c r="E12" i="6" s="1"/>
  <c r="H36" i="10"/>
  <c r="E13" i="6" s="1"/>
  <c r="D32" i="6" s="1"/>
  <c r="D56" i="6" s="1"/>
  <c r="E10" i="6"/>
  <c r="D36" i="6"/>
  <c r="D40" i="6" s="1"/>
  <c r="D51" i="6" s="1"/>
  <c r="D54" i="6" s="1"/>
  <c r="C40" i="6"/>
  <c r="C45" i="6"/>
  <c r="E45" i="6" s="1"/>
  <c r="E47" i="6" s="1"/>
  <c r="H21" i="9"/>
  <c r="H25" i="9" s="1"/>
  <c r="H36" i="9" l="1"/>
  <c r="C13" i="6" s="1"/>
  <c r="C32" i="6" s="1"/>
  <c r="C56" i="6" s="1"/>
  <c r="H29" i="9"/>
  <c r="H34" i="9" s="1"/>
  <c r="C12" i="6" s="1"/>
  <c r="E36" i="6"/>
  <c r="D31" i="6"/>
  <c r="E40" i="6"/>
  <c r="E51" i="6" s="1"/>
  <c r="C31" i="6"/>
  <c r="C47" i="6"/>
  <c r="C51" i="6" s="1"/>
  <c r="C54" i="6" s="1"/>
  <c r="E54" i="6" s="1"/>
  <c r="E56" i="6" l="1"/>
  <c r="D33" i="6"/>
  <c r="D58" i="6" s="1"/>
  <c r="E32" i="6"/>
  <c r="C33" i="6"/>
  <c r="C58" i="6" s="1"/>
  <c r="E58" i="6" s="1"/>
  <c r="E31" i="6"/>
  <c r="E33" i="6" l="1"/>
</calcChain>
</file>

<file path=xl/sharedStrings.xml><?xml version="1.0" encoding="utf-8"?>
<sst xmlns="http://schemas.openxmlformats.org/spreadsheetml/2006/main" count="301" uniqueCount="202">
  <si>
    <t>Total</t>
  </si>
  <si>
    <t>Cost of Operation:</t>
  </si>
  <si>
    <t>Staff</t>
  </si>
  <si>
    <t>% Effort</t>
  </si>
  <si>
    <t>Current Salary</t>
  </si>
  <si>
    <t>Salary Expense</t>
  </si>
  <si>
    <t>% Benefits</t>
  </si>
  <si>
    <t>Benefit Expense</t>
  </si>
  <si>
    <t>Total Recharge Expense</t>
  </si>
  <si>
    <t>A</t>
  </si>
  <si>
    <t>B</t>
  </si>
  <si>
    <t>C</t>
  </si>
  <si>
    <t>D</t>
  </si>
  <si>
    <t>E</t>
  </si>
  <si>
    <t>F</t>
  </si>
  <si>
    <t>A * B</t>
  </si>
  <si>
    <t>C * D</t>
  </si>
  <si>
    <t>C + E</t>
  </si>
  <si>
    <t>Total Personnel</t>
  </si>
  <si>
    <t>Total S&amp;E</t>
  </si>
  <si>
    <t>Total projected expenses to be recovered</t>
  </si>
  <si>
    <t>Summary</t>
  </si>
  <si>
    <t>Proposed Pricing</t>
  </si>
  <si>
    <t>Distribution of Effort</t>
  </si>
  <si>
    <t>Acad/Staff</t>
  </si>
  <si>
    <t>Role</t>
  </si>
  <si>
    <t>Salaries &amp; Benefits</t>
  </si>
  <si>
    <t>Supplies &amp; Other</t>
  </si>
  <si>
    <t>Total Supplies &amp; Other</t>
  </si>
  <si>
    <t>Total Expenses</t>
  </si>
  <si>
    <t>Net Profit (Loss)</t>
  </si>
  <si>
    <t>Services</t>
  </si>
  <si>
    <t>Profit/Loss Statement</t>
  </si>
  <si>
    <t>Estimated No. Billable Units- UC User</t>
  </si>
  <si>
    <t>Estimated No. Billable Units- Non UC User</t>
  </si>
  <si>
    <t>Revenue- Non-UC User</t>
  </si>
  <si>
    <t>Differential Income Transfer</t>
  </si>
  <si>
    <t>Adjustment for Prior Year Deficit or Surplus</t>
  </si>
  <si>
    <t>Adj for Prior Yr Deficit or Surplus</t>
  </si>
  <si>
    <t>Name</t>
  </si>
  <si>
    <t>differential income transfer percentage</t>
  </si>
  <si>
    <t>Recharge Income-UC User</t>
  </si>
  <si>
    <t>Total Income</t>
  </si>
  <si>
    <t>Income</t>
  </si>
  <si>
    <t>Proposed Rate (UC Users)</t>
  </si>
  <si>
    <t>Proposed Rate (Non-UC Users)*</t>
  </si>
  <si>
    <t xml:space="preserve">*Non-UC Users Hourly Rate includes the current approved </t>
  </si>
  <si>
    <t>Total Working Hours</t>
  </si>
  <si>
    <t>Less Holiday</t>
  </si>
  <si>
    <t>Less Vacation</t>
  </si>
  <si>
    <t>Less Sick Leave</t>
  </si>
  <si>
    <t>Total Productive Hours</t>
  </si>
  <si>
    <t>Less Non-ProductiveHours</t>
  </si>
  <si>
    <t>Billable Units: # of Productive Hours</t>
  </si>
  <si>
    <t>Adjustment for Prior Year Deficit or (Surplus)</t>
  </si>
  <si>
    <t>Office Supplies</t>
  </si>
  <si>
    <t>Lab Supplies</t>
  </si>
  <si>
    <t>UCID</t>
  </si>
  <si>
    <t>P.O</t>
  </si>
  <si>
    <t>dep/yr</t>
  </si>
  <si>
    <t>10xxxxxx</t>
  </si>
  <si>
    <t>19900A</t>
  </si>
  <si>
    <t>Equipment Depreciation</t>
  </si>
  <si>
    <t>Custody</t>
  </si>
  <si>
    <t>Code</t>
  </si>
  <si>
    <t>machine a</t>
  </si>
  <si>
    <t>machine b</t>
  </si>
  <si>
    <t>1234567</t>
  </si>
  <si>
    <t>2234567</t>
  </si>
  <si>
    <t>56789A</t>
  </si>
  <si>
    <t>Acquisition</t>
  </si>
  <si>
    <t>Depreciation</t>
  </si>
  <si>
    <t>Useful</t>
  </si>
  <si>
    <t>Fund</t>
  </si>
  <si>
    <t>Date</t>
  </si>
  <si>
    <t>Life</t>
  </si>
  <si>
    <t>Price</t>
  </si>
  <si>
    <t>Description</t>
  </si>
  <si>
    <t>NOTE:  Excel workbook contains formulas and links to the other worksheets; PLEASE DO NOT CHANGE FORMULAS</t>
  </si>
  <si>
    <t>Instructions</t>
  </si>
  <si>
    <t>1. At the Recharge Facility cell, fill out the name of the Recharge Facility and if applicable, include Fund Number.</t>
  </si>
  <si>
    <t>2. At the Rate Caculation cell, put in type of rate calculation (e.g., senior consultation, consulation)</t>
  </si>
  <si>
    <t>3.  Fill out the worksheet as row titles indicate.</t>
  </si>
  <si>
    <t xml:space="preserve">4.  Group employees of similar pay rates/functions, for the rate that is being calculated.  </t>
  </si>
  <si>
    <t>5.  Fill out % Effort based on the percentage effort of each person that will work on this rate.  Put in 0% for the other personnel not included in this rate.</t>
  </si>
  <si>
    <t>6.  Fill out the Current Salary based on the full annual salary of each individual at the university.</t>
  </si>
  <si>
    <t>7.  Recharge Salary Expense is a formula.  It multiplies % effort by the current salary to get the recharge salary expense.</t>
  </si>
  <si>
    <t xml:space="preserve">8.  Fill out % Benefits based on full benefits percentage of each individual at the university.  It should be based on historical, actual data, if available.  </t>
  </si>
  <si>
    <t xml:space="preserve">     If not available, contact HR for the standard current rate for benefits (currently, the standard benefits rate is 23%).  </t>
  </si>
  <si>
    <t>9.  Recharge Benefit Expense is a formula.  It multiplies % Benefis by Recharge Salary Expense to get the Recharge Benefit Expense.</t>
  </si>
  <si>
    <t>10.  In the Personnel Section, Total Recharge Expense is a formula.  It adds recharge salary expense with recharge benefit expense to get Total Payroll Recharge Expense.</t>
  </si>
  <si>
    <t>11.  Total Personnel is a formula.  It adds all the salaries and benefits cost of the employees for this rate.</t>
  </si>
  <si>
    <t>12. Total Working Hours is a formula.  It multiplies total working hours in a year for an employee which is 2088 hours by % Effort.</t>
  </si>
  <si>
    <t>13. Less Holiday is a formula.  It multiplies total holidays hours earned in a year (which currently is 13 holidays x 8 hours) by % Effort.</t>
  </si>
  <si>
    <t>14. Fill out vacation, sick, and non-productive hours based on historical, actual data, if available.  Determination of sick-leave usage and non-productive hours can be estimated</t>
  </si>
  <si>
    <t xml:space="preserve">      using past experience of the department as a guide.  Non-productive hours include break time and supervising.  Vacation hours earned varies by individual.</t>
  </si>
  <si>
    <t>16. If actual is not available, base sick hours on annual hours earned at time of hire (e.g., 8 hours per month multiplied by 12 months equals 96 sick hours earned in a year).</t>
  </si>
  <si>
    <t>17. If actual is not available, use an estimation that can be supported for non-productive hours.  (e.g. use half an hour for breaks per day , one hour of preparation time per day)</t>
  </si>
  <si>
    <t>18. Less Vacation is a formula.  It multiplies total vacation hours in a year by % Effort.</t>
  </si>
  <si>
    <t>19. Less Sick is a formula.  It multiplies total sick hours in a year by % Effort.</t>
  </si>
  <si>
    <t>20. Less Non-Productive Hours is a formula.  It multiplies total non-productive hours in a year by % Effort.</t>
  </si>
  <si>
    <t>21. Total Productive Hours is a formula.  It subtracts Less Holiday, Less Vacation, Less Sick, and Less Non-Productive Hours from Total Working Hours to equal Total Productive Hours.</t>
  </si>
  <si>
    <t>23. Total S&amp;E is a formula.  It adds up all the total supplies and expense costs for the recharge activity.  It does not include personnel costs.</t>
  </si>
  <si>
    <t>24. Adjustment for Prior Year Deficit or (Surplus) should be based on the deficit or surplus attritubed directly to this rate.  The amount should be based on the balance</t>
  </si>
  <si>
    <t xml:space="preserve">      in the month preceding the submital of the proposal or the previous fiscal year end.  A negative amount needs to be used for surpluses.</t>
  </si>
  <si>
    <t>25. Total projected expenses to be recovered is a formula.  It adds up total personnel, supplies and expense, and adjustment for prior year deficit or surplus costs.</t>
  </si>
  <si>
    <t>26. Billable Units is the number of total productive hours.</t>
  </si>
  <si>
    <t>27. The rate for UC users is calculated by dividing the total projected expenses to be recovered by the number of total productive hours.  You may wish to round the rate to whole numbers.</t>
  </si>
  <si>
    <t xml:space="preserve">      You may wish to round the rate to whole numbers.</t>
  </si>
  <si>
    <t>RATE CALCULATION BASED ON PRODUCTS OR SERVICES</t>
  </si>
  <si>
    <t>4.  Fill out % Effort based on the percentage effort of each person that will work on this rate.  Put in 0% for the other personnel not included in this rate.</t>
  </si>
  <si>
    <t>13. Equipment Depreciation, found in the operating costs section, is linked to the depreciation schedule worksheet.  Reference the appropriate year in the equipment depreciation schedule</t>
  </si>
  <si>
    <t xml:space="preserve">      to get the correct annual equipment depreciation expense.</t>
  </si>
  <si>
    <t>14. Total S&amp;E is a formula.  It adds up all the total supplies and expense costs for the recharge activity.  It does not include personnel costs.</t>
  </si>
  <si>
    <t>15. Adjustment for Prior Year Deficit or (Surplus) should be based on the deficit or surplus attritubed directly to this rate.  The amount should be based on the balance</t>
  </si>
  <si>
    <t>16. Total projected expenses to be recovered is a formula.  It adds up total personnel, supplies and expense, and adjustment for prior year deficit or surplus costs.</t>
  </si>
  <si>
    <t>17. Billable Units is the number of products or services (e.g., Number of Lab Tests) sold within a year for this rate.  Provide a description of the billable unit.</t>
  </si>
  <si>
    <t>18. The rate for UC users is calculated by dividing the total projected expenses to be recovered by the number of total billable units.  You may wish to round the rate to whole numbers.</t>
  </si>
  <si>
    <t>15. If actual is not available, base vacation hours on annual hours earned at time of hire (e.g. 10 hours per month multiplied by 12 months equals 120 vacation hours earned in a year).</t>
  </si>
  <si>
    <t xml:space="preserve">     Please note that the total percentage for each person for all rates combined should not exceed 100%.</t>
  </si>
  <si>
    <t>Scenario:  Profit and Loss Statement for Lab Tests and Consultation Produtive Hours</t>
  </si>
  <si>
    <t xml:space="preserve">     be used as an example for the Lab Tests and Consultation rates below.</t>
  </si>
  <si>
    <t xml:space="preserve">2.  Estimated No. Billable Units-UC User for Lab Tests is a formula.  It multiplies the percentage of UC Users </t>
  </si>
  <si>
    <t xml:space="preserve">      by the Total No. of Billable Units for the rate, Lab Tests.  To get the Total No. of Billable Units, please reference </t>
  </si>
  <si>
    <t xml:space="preserve">      the number from the Lab Tests Calculation Worksheet.</t>
  </si>
  <si>
    <t xml:space="preserve">3.  Estimated No. Billable Units-Non UC User for Lab Tests is a formula.  It multiplies the percentage of Non UC Users </t>
  </si>
  <si>
    <t>4.  Proposed Rate (UC Users) for Lab Tests comes from the Lab Tests Calculation Worksheet.</t>
  </si>
  <si>
    <t>5.  Proposed Rate (Non-UC Users) for Lab Tests comes from the Lab Tests Calculation Worksheet.</t>
  </si>
  <si>
    <t>6.  Distribution of Effort information for Lab Tests comes from the Lab Tests Calculation Worksheet.</t>
  </si>
  <si>
    <t>7.  Recharge-Income- UC User for Lab Tests is a formula.  It multiplies the Estimated No. Billable Units-UC Users</t>
  </si>
  <si>
    <t xml:space="preserve">     by the Proposed Rate (UC Users) for Lab Tests.</t>
  </si>
  <si>
    <t>8.  Revenue-Non UC User for Lab Tests is a formula.  It multiplies the Estimated No. Billable Units-Non UC Users</t>
  </si>
  <si>
    <t xml:space="preserve">     by the Proposed Rate (Non-UC Users) for Lab Tests.</t>
  </si>
  <si>
    <t>9.  Salary and Benefits information for Lab Tests comes from the Lab Tests Calculation Worksheet.</t>
  </si>
  <si>
    <t xml:space="preserve">10. Total Salaries and Benefits for Lab Tests is a formula.  It adds all the salaries and benefits cost of the employees </t>
  </si>
  <si>
    <t xml:space="preserve">      for the Lab Tests rate.</t>
  </si>
  <si>
    <t>12. Total Supplies and Other for Lab Tests is a formula.  It adds up all the supplies and other expenses for the Lab</t>
  </si>
  <si>
    <t xml:space="preserve">      Tests rate.</t>
  </si>
  <si>
    <t>13. Adj for Prior Year Deficit or (Surplus) for Lab Tests comes from the Lab Tests Calculation Worksheet.</t>
  </si>
  <si>
    <t>14. Total Expenses for Lab Tests is a formula.  It adds up Total Salaries and Benefits, Total Supplies and Other,</t>
  </si>
  <si>
    <t xml:space="preserve">      and Adj for Prior Year Deficit or (Surplus) for Lab Tests.</t>
  </si>
  <si>
    <t xml:space="preserve">16. Net Profit or (Loss) for Lab Tests is a formula.  Total Expenses and Differential Income Transfer for Lab Tests are </t>
  </si>
  <si>
    <t xml:space="preserve">      Subtracted from Total Income to get Net Profit or (Loss) for Lab Tests.</t>
  </si>
  <si>
    <t xml:space="preserve">       Tests comes from the Lab Tests Calculation Worksheet.</t>
  </si>
  <si>
    <t xml:space="preserve">     rate should equal 100%(e.g., 90% UC users and 10% non-UC users for Lab Tests).  The 90% UC users and 10% will </t>
  </si>
  <si>
    <t xml:space="preserve">1. Find out the percentage of UC users and non-UC users for each rate.  The total percentage for both types of users in each </t>
  </si>
  <si>
    <t xml:space="preserve">17.  Steps 1 through 16 will need to be followed for Consultation and any additional rates.  You will need to add additional </t>
  </si>
  <si>
    <t xml:space="preserve">      worksheet and its corresponding column in the Profit/Loss Statement.</t>
  </si>
  <si>
    <t xml:space="preserve">       columns for any other rates if you include more rates.  If you only have one rate, delete one of the consultation rates </t>
  </si>
  <si>
    <t>28. The rate for non-UC users is calculated by multiplying the rate for UC users by the approved differential income rate.  The standard minimum rates are at the SSA Overview webpage.</t>
  </si>
  <si>
    <t>19. The rate for non-UC users is calculated by multiplying the rate for UC users by the approved differential income rate.  The standard minimum rates are at the SSA Overview webpage.</t>
  </si>
  <si>
    <t>RATE CALCULATION BASED ON PRODUCTIVE HOURS AND DIFFERENT CLASSIFICATIONS (Pay groups)</t>
  </si>
  <si>
    <t>STATEMENT OF OPERATIONS</t>
  </si>
  <si>
    <t xml:space="preserve">15. Differential Income Transfer for Senior Consultation is a formula.  Revenue Non-UC user is divided by 1.XX (where XX is equal to the standard differential income rate) </t>
  </si>
  <si>
    <t xml:space="preserve">    equal to the standard differential income rate) and then multiplied by .XX (where XX is equal to the standard differential income rate) to get the Differential Income Transfer amount.</t>
  </si>
  <si>
    <t>18. Total Column- The total column adds up the percentages or amounts from all the rates to get the total amounts.</t>
  </si>
  <si>
    <t xml:space="preserve">12. Operating costs must be based on the costs of the recharge activity for the entire year </t>
  </si>
  <si>
    <t xml:space="preserve">22. Operating costs must be based on the costs of the recharge activity for the entire year </t>
  </si>
  <si>
    <t xml:space="preserve">11. Supplies and Other information for Lab </t>
  </si>
  <si>
    <t xml:space="preserve">     (In this example, the standard differential income rate is 29.6%)</t>
  </si>
  <si>
    <t>Rate:</t>
  </si>
  <si>
    <t>Estimated % of UC Users</t>
  </si>
  <si>
    <t>Estimated % of Non-UC Users</t>
  </si>
  <si>
    <t>Usage</t>
  </si>
  <si>
    <t>INSTRUCTIONS</t>
  </si>
  <si>
    <t>Rate Calculation Per Unit:</t>
  </si>
  <si>
    <t>Other Sponsored Activity Indirect Cost Rate:</t>
  </si>
  <si>
    <t>Rate Calculation Per Hour:</t>
  </si>
  <si>
    <t>[Enter Type of Labor (e.g. Consultation)]</t>
  </si>
  <si>
    <t>Billable Units (# of Units Expected to be Sold):</t>
  </si>
  <si>
    <t>Complete Cells with a yellow background</t>
  </si>
  <si>
    <t>Example:  Lab tests sold for a year</t>
  </si>
  <si>
    <t>Title (e.g. Director)</t>
  </si>
  <si>
    <t>Role/Title</t>
  </si>
  <si>
    <t>Title (e.g. SRA)</t>
  </si>
  <si>
    <t>Title (e.g. Stdnt Asst*)</t>
  </si>
  <si>
    <t>* Students working on recharge activities (both grad and undergrad) should only be hired into Student Assistant titles.  GSR is not an appropriate title.</t>
  </si>
  <si>
    <t>Example:  Productive Hours with Substantial Pay Differences</t>
  </si>
  <si>
    <t>Fiscal Year:</t>
  </si>
  <si>
    <t>EQUIPMENT DEPRECIATION</t>
  </si>
  <si>
    <t>Add additional rows above row 12 as needed.</t>
  </si>
  <si>
    <t xml:space="preserve">If an equipment is allotted to more than one recharge rate, please provide rationale </t>
  </si>
  <si>
    <t>Depreciation Amount may be less than acquisition price if benefit to recharge activities began after acquisition.</t>
  </si>
  <si>
    <r>
      <t xml:space="preserve">Amount </t>
    </r>
    <r>
      <rPr>
        <vertAlign val="superscript"/>
        <sz val="12"/>
        <rFont val="Times New Roman"/>
        <family val="1"/>
      </rPr>
      <t>1</t>
    </r>
  </si>
  <si>
    <t>Income/Recharge Facility:</t>
  </si>
  <si>
    <t>Proposed Recharge Rate (UC Users)</t>
  </si>
  <si>
    <t>Shrinkage</t>
  </si>
  <si>
    <t>Total Costs to Recover</t>
  </si>
  <si>
    <t>Projected Cost of Materials to be Resold</t>
  </si>
  <si>
    <t>Total Stock Purchases (including value of projected carryforward inventory)</t>
  </si>
  <si>
    <t>Estimated Inventory Credit</t>
  </si>
  <si>
    <t>Total Projected Cost of Matierlas to be sold</t>
  </si>
  <si>
    <t>Mark up Rate UCI</t>
  </si>
  <si>
    <t>Mark UP Rate Non-UCI</t>
  </si>
  <si>
    <t>Total UCI User Expenses to be recovered</t>
  </si>
  <si>
    <t>Subsidy (Account)</t>
  </si>
  <si>
    <t>GF11111</t>
  </si>
  <si>
    <t>Proposed Income Rate (Non-UC Users) (excluding Subsidy)</t>
  </si>
  <si>
    <t>Per Unit - Gizmo</t>
  </si>
  <si>
    <t>Consult Fashion</t>
  </si>
  <si>
    <t>Peter's Test Lab</t>
  </si>
  <si>
    <t>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</si>
</sst>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17" x14ac:knownFonts="1">
    <font>
      <sz val="10"/>
      <name val="Arial"/>
    </font>
    <font>
      <sz val="10"/>
      <name val="Arial"/>
    </font>
    <font>
      <b/>
      <sz val="12"/>
      <name val="Arial"/>
      <family val="2"/>
    </font>
    <font>
      <b/>
      <sz val="10"/>
      <name val="Arial"/>
      <family val="2"/>
    </font>
    <font>
      <sz val="9"/>
      <name val="Arial"/>
      <family val="2"/>
    </font>
    <font>
      <sz val="10"/>
      <name val="Arial"/>
      <family val="2"/>
    </font>
    <font>
      <sz val="10"/>
      <name val="Arial"/>
      <family val="2"/>
    </font>
    <font>
      <b/>
      <sz val="12"/>
      <name val="Times New Roman"/>
      <family val="1"/>
    </font>
    <font>
      <sz val="12"/>
      <name val="Times New Roman"/>
      <family val="1"/>
    </font>
    <font>
      <b/>
      <u/>
      <sz val="12"/>
      <name val="Times New Roman"/>
      <family val="1"/>
    </font>
    <font>
      <b/>
      <i/>
      <u/>
      <sz val="12"/>
      <name val="Times New Roman"/>
      <family val="1"/>
    </font>
    <font>
      <i/>
      <sz val="12"/>
      <name val="Times New Roman"/>
      <family val="1"/>
    </font>
    <font>
      <i/>
      <vertAlign val="superscript"/>
      <sz val="12"/>
      <name val="Times New Roman"/>
      <family val="1"/>
    </font>
    <font>
      <b/>
      <i/>
      <sz val="12"/>
      <name val="Times New Roman"/>
      <family val="1"/>
    </font>
    <font>
      <u/>
      <sz val="12"/>
      <name val="Times New Roman"/>
      <family val="1"/>
    </font>
    <font>
      <sz val="12"/>
      <name val="Arial"/>
      <family val="2"/>
    </font>
    <font>
      <vertAlign val="superscript"/>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92D050"/>
        <bgColor indexed="64"/>
      </patternFill>
    </fill>
  </fills>
  <borders count="22">
    <border>
      <left/>
      <right/>
      <top/>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41">
    <xf numFmtId="0" fontId="0" fillId="0" borderId="0" xfId="0"/>
    <xf numFmtId="0" fontId="0" fillId="0" borderId="0" xfId="0" applyBorder="1"/>
    <xf numFmtId="0" fontId="2" fillId="0" borderId="0" xfId="0" applyFont="1" applyBorder="1"/>
    <xf numFmtId="0" fontId="3" fillId="0" borderId="0" xfId="0" applyFont="1" applyBorder="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2" fillId="0" borderId="0" xfId="0" applyFont="1"/>
    <xf numFmtId="0" fontId="1" fillId="0" borderId="0" xfId="0" applyFont="1" applyBorder="1"/>
    <xf numFmtId="0" fontId="0" fillId="0" borderId="0" xfId="0" applyFill="1"/>
    <xf numFmtId="0" fontId="4" fillId="0" borderId="0" xfId="0" applyFont="1" applyFill="1" applyBorder="1"/>
    <xf numFmtId="0" fontId="4" fillId="0" borderId="0" xfId="0" applyFont="1"/>
    <xf numFmtId="0" fontId="4" fillId="0" borderId="1" xfId="0" applyFont="1" applyFill="1" applyBorder="1"/>
    <xf numFmtId="0" fontId="4" fillId="0" borderId="0" xfId="0" applyFont="1" applyFill="1"/>
    <xf numFmtId="43" fontId="4" fillId="0" borderId="0" xfId="0" applyNumberFormat="1" applyFont="1" applyFill="1" applyBorder="1"/>
    <xf numFmtId="165" fontId="4" fillId="0" borderId="0" xfId="0" applyNumberFormat="1" applyFont="1" applyFill="1"/>
    <xf numFmtId="43" fontId="4" fillId="0" borderId="0" xfId="0" applyNumberFormat="1" applyFont="1" applyFill="1"/>
    <xf numFmtId="0" fontId="7" fillId="0" borderId="0" xfId="0" applyFont="1" applyBorder="1"/>
    <xf numFmtId="0" fontId="8" fillId="0" borderId="0" xfId="0" applyFont="1" applyBorder="1"/>
    <xf numFmtId="0" fontId="8" fillId="0" borderId="0" xfId="0" applyFont="1"/>
    <xf numFmtId="0" fontId="8" fillId="0" borderId="2" xfId="0" applyFont="1" applyBorder="1"/>
    <xf numFmtId="0" fontId="9" fillId="0" borderId="0" xfId="0" applyFont="1" applyBorder="1"/>
    <xf numFmtId="0" fontId="7" fillId="0" borderId="0" xfId="0" applyFont="1" applyBorder="1" applyAlignment="1">
      <alignment horizontal="center" wrapText="1"/>
    </xf>
    <xf numFmtId="0" fontId="7" fillId="0" borderId="0" xfId="0" applyFont="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0" xfId="4" applyFont="1" applyBorder="1"/>
    <xf numFmtId="0" fontId="8" fillId="0" borderId="5" xfId="0" applyFont="1" applyBorder="1"/>
    <xf numFmtId="9" fontId="8" fillId="0" borderId="5" xfId="0" applyNumberFormat="1" applyFont="1" applyBorder="1"/>
    <xf numFmtId="165" fontId="8" fillId="0" borderId="5" xfId="1" applyNumberFormat="1" applyFont="1" applyBorder="1"/>
    <xf numFmtId="9" fontId="8" fillId="0" borderId="0" xfId="0" applyNumberFormat="1" applyFont="1" applyBorder="1"/>
    <xf numFmtId="165" fontId="8" fillId="0" borderId="0" xfId="1" applyNumberFormat="1" applyFont="1" applyBorder="1"/>
    <xf numFmtId="0" fontId="8" fillId="0" borderId="6" xfId="0" applyFont="1" applyBorder="1"/>
    <xf numFmtId="0" fontId="7" fillId="0" borderId="7" xfId="0" applyFont="1" applyBorder="1"/>
    <xf numFmtId="0" fontId="8" fillId="0" borderId="7" xfId="0" applyFont="1" applyBorder="1"/>
    <xf numFmtId="0" fontId="10" fillId="0" borderId="0" xfId="0" applyFont="1" applyBorder="1"/>
    <xf numFmtId="0" fontId="8" fillId="0" borderId="4" xfId="0" applyFont="1" applyBorder="1"/>
    <xf numFmtId="0" fontId="8" fillId="0" borderId="8" xfId="0" applyFont="1" applyBorder="1"/>
    <xf numFmtId="0" fontId="7" fillId="0" borderId="9" xfId="0" applyFont="1" applyFill="1" applyBorder="1" applyAlignment="1">
      <alignment horizontal="center" wrapText="1"/>
    </xf>
    <xf numFmtId="0" fontId="7" fillId="0" borderId="10" xfId="0" applyFont="1" applyBorder="1"/>
    <xf numFmtId="0" fontId="7" fillId="0" borderId="8" xfId="0" applyFont="1" applyBorder="1"/>
    <xf numFmtId="0" fontId="7" fillId="0" borderId="11" xfId="0" applyFont="1" applyBorder="1"/>
    <xf numFmtId="0" fontId="8" fillId="0" borderId="12" xfId="0" applyFont="1" applyBorder="1"/>
    <xf numFmtId="42" fontId="7" fillId="0" borderId="9" xfId="2" applyNumberFormat="1" applyFont="1" applyBorder="1"/>
    <xf numFmtId="0" fontId="11" fillId="0" borderId="3" xfId="0" applyFont="1" applyBorder="1"/>
    <xf numFmtId="0" fontId="8" fillId="0" borderId="0" xfId="0" applyFont="1" applyFill="1" applyBorder="1"/>
    <xf numFmtId="0" fontId="11" fillId="0" borderId="0" xfId="0" applyFont="1" applyBorder="1"/>
    <xf numFmtId="0" fontId="12" fillId="0" borderId="0" xfId="0" applyFont="1" applyBorder="1"/>
    <xf numFmtId="0" fontId="7" fillId="0" borderId="4" xfId="0" applyFont="1" applyBorder="1" applyAlignment="1">
      <alignment horizontal="center" wrapText="1"/>
    </xf>
    <xf numFmtId="0" fontId="7" fillId="0" borderId="4" xfId="0" applyFont="1" applyBorder="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8" xfId="0" applyFont="1" applyBorder="1" applyAlignment="1">
      <alignment horizontal="center" wrapText="1"/>
    </xf>
    <xf numFmtId="0" fontId="8" fillId="0" borderId="11" xfId="0" applyFont="1" applyBorder="1"/>
    <xf numFmtId="0" fontId="8" fillId="0" borderId="9" xfId="0" applyFont="1" applyBorder="1"/>
    <xf numFmtId="9" fontId="8" fillId="0" borderId="9" xfId="6" applyFont="1" applyBorder="1" applyAlignment="1">
      <alignment horizontal="center"/>
    </xf>
    <xf numFmtId="0" fontId="10" fillId="0" borderId="0" xfId="0" applyFont="1" applyFill="1" applyBorder="1"/>
    <xf numFmtId="0" fontId="8" fillId="0" borderId="16" xfId="0" applyFont="1" applyBorder="1"/>
    <xf numFmtId="0" fontId="10" fillId="0" borderId="3" xfId="0" applyFont="1" applyFill="1" applyBorder="1"/>
    <xf numFmtId="0" fontId="10" fillId="0" borderId="1" xfId="0" applyFont="1" applyFill="1" applyBorder="1"/>
    <xf numFmtId="0" fontId="9" fillId="0" borderId="1" xfId="0" applyFont="1" applyFill="1" applyBorder="1"/>
    <xf numFmtId="0" fontId="10" fillId="0" borderId="13" xfId="0" applyFont="1" applyFill="1" applyBorder="1"/>
    <xf numFmtId="0" fontId="8" fillId="0" borderId="17" xfId="0" applyFont="1" applyFill="1" applyBorder="1"/>
    <xf numFmtId="0" fontId="8" fillId="0" borderId="1" xfId="0" applyFont="1" applyFill="1" applyBorder="1"/>
    <xf numFmtId="0" fontId="13" fillId="0" borderId="1" xfId="0" applyFont="1" applyFill="1" applyBorder="1" applyAlignment="1">
      <alignment horizontal="left"/>
    </xf>
    <xf numFmtId="0" fontId="7" fillId="0" borderId="0" xfId="0" applyFont="1" applyFill="1" applyBorder="1"/>
    <xf numFmtId="0" fontId="11" fillId="0" borderId="0" xfId="0" applyFont="1" applyFill="1" applyBorder="1" applyAlignment="1">
      <alignment horizontal="right"/>
    </xf>
    <xf numFmtId="0" fontId="11" fillId="0" borderId="1" xfId="0" applyFont="1" applyFill="1" applyBorder="1" applyAlignment="1">
      <alignment horizontal="right"/>
    </xf>
    <xf numFmtId="0" fontId="7" fillId="0" borderId="1" xfId="0" applyFont="1" applyFill="1" applyBorder="1"/>
    <xf numFmtId="165" fontId="7" fillId="0" borderId="9" xfId="0" quotePrefix="1" applyNumberFormat="1" applyFont="1" applyBorder="1" applyAlignment="1">
      <alignment horizontal="center"/>
    </xf>
    <xf numFmtId="0" fontId="11" fillId="0" borderId="12" xfId="0" applyFont="1" applyFill="1" applyBorder="1" applyAlignment="1">
      <alignment horizontal="right"/>
    </xf>
    <xf numFmtId="0" fontId="7" fillId="0" borderId="12" xfId="0" applyFont="1" applyFill="1" applyBorder="1"/>
    <xf numFmtId="0" fontId="7" fillId="0" borderId="11" xfId="0" applyFont="1" applyFill="1" applyBorder="1" applyAlignment="1">
      <alignment horizontal="left"/>
    </xf>
    <xf numFmtId="0" fontId="7" fillId="0" borderId="11" xfId="0" applyFont="1" applyFill="1" applyBorder="1"/>
    <xf numFmtId="0" fontId="7" fillId="0" borderId="18" xfId="0" applyFont="1" applyFill="1" applyBorder="1"/>
    <xf numFmtId="0" fontId="7" fillId="0" borderId="19" xfId="0" applyFont="1" applyFill="1" applyBorder="1"/>
    <xf numFmtId="0" fontId="8" fillId="0" borderId="1" xfId="0" applyFont="1" applyBorder="1" applyAlignment="1">
      <alignment horizontal="left"/>
    </xf>
    <xf numFmtId="0" fontId="8" fillId="0" borderId="17" xfId="0" applyFont="1" applyBorder="1" applyAlignment="1">
      <alignment horizontal="left"/>
    </xf>
    <xf numFmtId="0" fontId="0" fillId="0" borderId="4" xfId="0" applyBorder="1" applyAlignment="1">
      <alignment horizontal="center" wrapText="1"/>
    </xf>
    <xf numFmtId="0" fontId="8" fillId="0" borderId="5" xfId="4" applyFont="1" applyBorder="1"/>
    <xf numFmtId="1" fontId="8" fillId="0" borderId="5" xfId="0" applyNumberFormat="1" applyFont="1" applyBorder="1"/>
    <xf numFmtId="0" fontId="7" fillId="0" borderId="12" xfId="0" applyFont="1" applyBorder="1" applyAlignment="1"/>
    <xf numFmtId="0" fontId="6" fillId="0" borderId="0" xfId="0" applyFont="1" applyFill="1" applyBorder="1"/>
    <xf numFmtId="0" fontId="1" fillId="0" borderId="0" xfId="0" applyFont="1" applyFill="1" applyBorder="1"/>
    <xf numFmtId="0" fontId="8" fillId="0" borderId="0" xfId="0" applyFont="1" applyBorder="1" applyAlignment="1">
      <alignment horizontal="centerContinuous"/>
    </xf>
    <xf numFmtId="0" fontId="8" fillId="0" borderId="0" xfId="0" applyFont="1" applyBorder="1" applyAlignment="1">
      <alignment horizontal="left"/>
    </xf>
    <xf numFmtId="0" fontId="8" fillId="2" borderId="0" xfId="0" applyFont="1" applyFill="1" applyBorder="1" applyAlignment="1">
      <alignment horizontal="left"/>
    </xf>
    <xf numFmtId="0" fontId="8" fillId="0" borderId="0" xfId="0" applyFont="1" applyFill="1" applyBorder="1" applyAlignment="1">
      <alignment horizontal="left"/>
    </xf>
    <xf numFmtId="0" fontId="8" fillId="0" borderId="0" xfId="4" applyFont="1" applyFill="1" applyBorder="1"/>
    <xf numFmtId="0" fontId="8" fillId="0" borderId="0" xfId="4" applyFont="1" applyBorder="1" applyAlignment="1">
      <alignment horizontal="left"/>
    </xf>
    <xf numFmtId="0" fontId="8" fillId="0" borderId="0" xfId="4" applyFont="1" applyFill="1" applyBorder="1" applyAlignment="1">
      <alignment horizontal="left"/>
    </xf>
    <xf numFmtId="0" fontId="3" fillId="0" borderId="0" xfId="0" applyFont="1" applyFill="1" applyAlignment="1">
      <alignment horizontal="center" wrapText="1"/>
    </xf>
    <xf numFmtId="0" fontId="5" fillId="0" borderId="0" xfId="0" applyFont="1" applyFill="1"/>
    <xf numFmtId="164" fontId="8" fillId="0" borderId="20" xfId="1" applyNumberFormat="1" applyFont="1" applyFill="1" applyBorder="1" applyAlignment="1"/>
    <xf numFmtId="164" fontId="8" fillId="0" borderId="17" xfId="0" applyNumberFormat="1" applyFont="1" applyFill="1" applyBorder="1" applyAlignment="1"/>
    <xf numFmtId="164" fontId="8" fillId="0" borderId="15" xfId="1" applyNumberFormat="1" applyFont="1" applyFill="1" applyBorder="1" applyAlignment="1"/>
    <xf numFmtId="164" fontId="8" fillId="0" borderId="8" xfId="0" applyNumberFormat="1" applyFont="1" applyFill="1" applyBorder="1" applyAlignment="1"/>
    <xf numFmtId="164" fontId="7" fillId="0" borderId="9" xfId="1" applyNumberFormat="1" applyFont="1" applyFill="1" applyBorder="1" applyAlignment="1"/>
    <xf numFmtId="164" fontId="10" fillId="0" borderId="20" xfId="0" applyNumberFormat="1" applyFont="1" applyFill="1" applyBorder="1" applyAlignment="1"/>
    <xf numFmtId="164" fontId="7" fillId="0" borderId="20" xfId="0" applyNumberFormat="1" applyFont="1" applyFill="1" applyBorder="1" applyAlignment="1"/>
    <xf numFmtId="164" fontId="8" fillId="0" borderId="17" xfId="1" applyNumberFormat="1" applyFont="1" applyFill="1" applyBorder="1" applyAlignment="1"/>
    <xf numFmtId="164" fontId="8" fillId="0" borderId="20" xfId="1" applyNumberFormat="1" applyFont="1" applyBorder="1" applyAlignment="1"/>
    <xf numFmtId="164" fontId="7" fillId="0" borderId="9" xfId="0" applyNumberFormat="1" applyFont="1" applyFill="1" applyBorder="1" applyAlignment="1"/>
    <xf numFmtId="164" fontId="11" fillId="0" borderId="20" xfId="0" applyNumberFormat="1" applyFont="1" applyFill="1" applyBorder="1" applyAlignment="1"/>
    <xf numFmtId="164" fontId="7" fillId="0" borderId="17" xfId="0" applyNumberFormat="1" applyFont="1" applyFill="1" applyBorder="1" applyAlignment="1"/>
    <xf numFmtId="164" fontId="7" fillId="0" borderId="1" xfId="0" applyNumberFormat="1" applyFont="1" applyFill="1" applyBorder="1" applyAlignment="1"/>
    <xf numFmtId="164" fontId="7" fillId="0" borderId="0" xfId="0" applyNumberFormat="1" applyFont="1" applyFill="1" applyBorder="1" applyAlignment="1"/>
    <xf numFmtId="164" fontId="7" fillId="0" borderId="12" xfId="0" applyNumberFormat="1" applyFont="1" applyFill="1" applyBorder="1" applyAlignment="1"/>
    <xf numFmtId="164" fontId="8" fillId="0" borderId="1" xfId="0" applyNumberFormat="1" applyFont="1" applyFill="1" applyBorder="1" applyAlignment="1"/>
    <xf numFmtId="164" fontId="8" fillId="0" borderId="0" xfId="0" applyNumberFormat="1" applyFont="1" applyFill="1" applyBorder="1" applyAlignment="1"/>
    <xf numFmtId="164" fontId="7" fillId="0" borderId="11" xfId="0" applyNumberFormat="1" applyFont="1" applyFill="1" applyBorder="1" applyAlignment="1"/>
    <xf numFmtId="164" fontId="7" fillId="0" borderId="10" xfId="0" applyNumberFormat="1" applyFont="1" applyFill="1" applyBorder="1" applyAlignment="1"/>
    <xf numFmtId="164" fontId="7" fillId="0" borderId="4" xfId="0" applyNumberFormat="1" applyFont="1" applyFill="1" applyBorder="1" applyAlignment="1"/>
    <xf numFmtId="164" fontId="8" fillId="0" borderId="10" xfId="0" applyNumberFormat="1" applyFont="1" applyFill="1" applyBorder="1" applyAlignment="1"/>
    <xf numFmtId="164" fontId="8" fillId="0" borderId="4" xfId="0" applyNumberFormat="1" applyFont="1" applyFill="1" applyBorder="1" applyAlignment="1"/>
    <xf numFmtId="164" fontId="7" fillId="0" borderId="18" xfId="0" applyNumberFormat="1" applyFont="1" applyFill="1" applyBorder="1" applyAlignment="1"/>
    <xf numFmtId="5" fontId="8" fillId="0" borderId="5" xfId="1" applyNumberFormat="1" applyFont="1" applyBorder="1"/>
    <xf numFmtId="5" fontId="8" fillId="0" borderId="0" xfId="1" applyNumberFormat="1" applyFont="1"/>
    <xf numFmtId="164" fontId="8" fillId="0" borderId="0" xfId="1" applyNumberFormat="1" applyFont="1"/>
    <xf numFmtId="164" fontId="8" fillId="0" borderId="5" xfId="1" applyNumberFormat="1" applyFont="1" applyBorder="1"/>
    <xf numFmtId="164" fontId="8" fillId="0" borderId="0" xfId="1" applyNumberFormat="1" applyFont="1" applyBorder="1"/>
    <xf numFmtId="164" fontId="7" fillId="0" borderId="6" xfId="0" applyNumberFormat="1" applyFont="1" applyBorder="1"/>
    <xf numFmtId="164" fontId="8" fillId="0" borderId="0" xfId="0" applyNumberFormat="1" applyFont="1"/>
    <xf numFmtId="164" fontId="8" fillId="0" borderId="0" xfId="0" applyNumberFormat="1" applyFont="1" applyBorder="1"/>
    <xf numFmtId="164" fontId="7" fillId="0" borderId="7" xfId="1" applyNumberFormat="1" applyFont="1" applyBorder="1"/>
    <xf numFmtId="3" fontId="8" fillId="0" borderId="0" xfId="0" applyNumberFormat="1" applyFont="1"/>
    <xf numFmtId="1" fontId="8" fillId="0" borderId="0" xfId="1" applyNumberFormat="1" applyFont="1"/>
    <xf numFmtId="0" fontId="8" fillId="0" borderId="0" xfId="5" applyFont="1" applyFill="1" applyBorder="1"/>
    <xf numFmtId="0" fontId="7" fillId="0" borderId="0" xfId="5" applyFont="1" applyFill="1" applyBorder="1"/>
    <xf numFmtId="0" fontId="7" fillId="0" borderId="0" xfId="0" applyFont="1" applyBorder="1" applyAlignment="1">
      <alignment horizontal="right"/>
    </xf>
    <xf numFmtId="166" fontId="8" fillId="0" borderId="2" xfId="6" applyNumberFormat="1" applyFont="1" applyBorder="1"/>
    <xf numFmtId="0" fontId="7" fillId="0" borderId="2" xfId="0" applyFont="1" applyBorder="1" applyAlignment="1">
      <alignment horizontal="right"/>
    </xf>
    <xf numFmtId="9" fontId="7" fillId="0" borderId="9" xfId="6" quotePrefix="1" applyFont="1" applyBorder="1" applyAlignment="1">
      <alignment horizontal="center"/>
    </xf>
    <xf numFmtId="0" fontId="7" fillId="0" borderId="9" xfId="0" applyFont="1" applyFill="1" applyBorder="1" applyAlignment="1">
      <alignment horizontal="center"/>
    </xf>
    <xf numFmtId="9" fontId="7" fillId="0" borderId="9" xfId="1" applyNumberFormat="1" applyFont="1" applyBorder="1"/>
    <xf numFmtId="0" fontId="7" fillId="0" borderId="9" xfId="0" applyFont="1" applyBorder="1"/>
    <xf numFmtId="0" fontId="14" fillId="0" borderId="0" xfId="0" applyFont="1"/>
    <xf numFmtId="0" fontId="15" fillId="0" borderId="0" xfId="0" applyFont="1"/>
    <xf numFmtId="0" fontId="15" fillId="0" borderId="0" xfId="0" applyFont="1" applyBorder="1"/>
    <xf numFmtId="0" fontId="15" fillId="0" borderId="0" xfId="0" applyFont="1" applyAlignment="1">
      <alignment horizontal="center" wrapText="1"/>
    </xf>
    <xf numFmtId="49" fontId="7" fillId="0" borderId="0" xfId="3" applyNumberFormat="1" applyFont="1" applyAlignment="1"/>
    <xf numFmtId="0" fontId="4" fillId="0" borderId="1" xfId="0" applyFont="1" applyBorder="1"/>
    <xf numFmtId="0" fontId="7" fillId="0" borderId="0" xfId="0" applyFont="1" applyFill="1" applyBorder="1" applyAlignment="1">
      <alignment horizontal="left"/>
    </xf>
    <xf numFmtId="0" fontId="0" fillId="3" borderId="0" xfId="0" applyFill="1"/>
    <xf numFmtId="0" fontId="8" fillId="0" borderId="0" xfId="0" applyFont="1" applyFill="1" applyBorder="1" applyAlignment="1"/>
    <xf numFmtId="0" fontId="8" fillId="3" borderId="5" xfId="4" applyFont="1" applyFill="1" applyBorder="1"/>
    <xf numFmtId="9" fontId="8" fillId="3" borderId="5" xfId="6" applyFont="1" applyFill="1" applyBorder="1"/>
    <xf numFmtId="5" fontId="8" fillId="3" borderId="5" xfId="1" applyNumberFormat="1" applyFont="1" applyFill="1" applyBorder="1"/>
    <xf numFmtId="0" fontId="8" fillId="3" borderId="0" xfId="4" applyFont="1" applyFill="1" applyBorder="1"/>
    <xf numFmtId="9" fontId="8" fillId="3" borderId="0" xfId="6" applyFont="1" applyFill="1"/>
    <xf numFmtId="5" fontId="8" fillId="3" borderId="0" xfId="1" applyNumberFormat="1" applyFont="1" applyFill="1"/>
    <xf numFmtId="0" fontId="8" fillId="3" borderId="11" xfId="4" applyFont="1" applyFill="1" applyBorder="1"/>
    <xf numFmtId="5" fontId="8" fillId="3" borderId="4" xfId="1" applyNumberFormat="1" applyFont="1" applyFill="1" applyBorder="1"/>
    <xf numFmtId="166" fontId="8" fillId="3" borderId="5" xfId="6" applyNumberFormat="1" applyFont="1" applyFill="1" applyBorder="1"/>
    <xf numFmtId="166" fontId="8" fillId="3" borderId="0" xfId="6" applyNumberFormat="1" applyFont="1" applyFill="1"/>
    <xf numFmtId="164" fontId="8" fillId="3" borderId="0" xfId="1" applyNumberFormat="1" applyFont="1" applyFill="1"/>
    <xf numFmtId="6" fontId="8" fillId="3" borderId="5" xfId="1" applyNumberFormat="1" applyFont="1" applyFill="1" applyBorder="1"/>
    <xf numFmtId="3" fontId="8" fillId="3" borderId="0" xfId="0" applyNumberFormat="1" applyFont="1" applyFill="1"/>
    <xf numFmtId="0" fontId="7" fillId="0" borderId="0" xfId="0" applyFont="1" applyFill="1" applyBorder="1" applyAlignment="1"/>
    <xf numFmtId="0" fontId="7" fillId="0" borderId="5" xfId="0" applyFont="1" applyBorder="1"/>
    <xf numFmtId="0" fontId="7" fillId="0" borderId="0" xfId="3" applyFont="1" applyAlignment="1">
      <alignment horizontal="center"/>
    </xf>
    <xf numFmtId="2" fontId="7" fillId="0" borderId="0" xfId="3" applyNumberFormat="1" applyFont="1" applyAlignment="1">
      <alignment horizontal="center"/>
    </xf>
    <xf numFmtId="0" fontId="8" fillId="0" borderId="0" xfId="3" applyFont="1"/>
    <xf numFmtId="49" fontId="8" fillId="0" borderId="0" xfId="3" applyNumberFormat="1" applyFont="1" applyAlignment="1">
      <alignment horizontal="center"/>
    </xf>
    <xf numFmtId="3" fontId="8" fillId="0" borderId="0" xfId="3" applyNumberFormat="1" applyFont="1" applyFill="1"/>
    <xf numFmtId="0" fontId="8" fillId="0" borderId="0" xfId="3" applyFont="1" applyAlignment="1">
      <alignment horizontal="center"/>
    </xf>
    <xf numFmtId="49" fontId="7" fillId="0" borderId="0" xfId="3" applyNumberFormat="1" applyFont="1" applyAlignment="1">
      <alignment horizontal="center"/>
    </xf>
    <xf numFmtId="0" fontId="8" fillId="3" borderId="0" xfId="3" applyFont="1" applyFill="1"/>
    <xf numFmtId="49" fontId="8" fillId="3" borderId="0" xfId="3" quotePrefix="1" applyNumberFormat="1" applyFont="1" applyFill="1" applyAlignment="1">
      <alignment horizontal="center"/>
    </xf>
    <xf numFmtId="164" fontId="8" fillId="3" borderId="0" xfId="3" applyNumberFormat="1" applyFont="1" applyFill="1"/>
    <xf numFmtId="0" fontId="8" fillId="3" borderId="0" xfId="3" applyFont="1" applyFill="1" applyAlignment="1">
      <alignment horizontal="center"/>
    </xf>
    <xf numFmtId="17" fontId="8" fillId="3" borderId="0" xfId="3" quotePrefix="1" applyNumberFormat="1" applyFont="1" applyFill="1" applyAlignment="1">
      <alignment horizontal="center"/>
    </xf>
    <xf numFmtId="164" fontId="8" fillId="0" borderId="0" xfId="3" applyNumberFormat="1" applyFont="1"/>
    <xf numFmtId="49" fontId="8" fillId="0" borderId="4" xfId="3" applyNumberFormat="1" applyFont="1" applyBorder="1" applyAlignment="1">
      <alignment horizontal="center"/>
    </xf>
    <xf numFmtId="164" fontId="8" fillId="0" borderId="4" xfId="3" applyNumberFormat="1" applyFont="1" applyFill="1" applyBorder="1"/>
    <xf numFmtId="0" fontId="8" fillId="0" borderId="4" xfId="3" applyFont="1" applyBorder="1" applyAlignment="1">
      <alignment horizontal="center"/>
    </xf>
    <xf numFmtId="17" fontId="8" fillId="0" borderId="4" xfId="3" applyNumberFormat="1" applyFont="1" applyBorder="1" applyAlignment="1">
      <alignment horizontal="center"/>
    </xf>
    <xf numFmtId="164" fontId="8" fillId="0" borderId="4" xfId="3" applyNumberFormat="1" applyFont="1" applyBorder="1"/>
    <xf numFmtId="164" fontId="8" fillId="0" borderId="0" xfId="3" applyNumberFormat="1" applyFont="1" applyFill="1"/>
    <xf numFmtId="17" fontId="8" fillId="0" borderId="0" xfId="3" applyNumberFormat="1" applyFont="1" applyAlignment="1">
      <alignment horizontal="center"/>
    </xf>
    <xf numFmtId="3" fontId="8" fillId="0" borderId="0" xfId="3" applyNumberFormat="1" applyFont="1"/>
    <xf numFmtId="0" fontId="8" fillId="0" borderId="0" xfId="3" applyFont="1" applyFill="1"/>
    <xf numFmtId="49" fontId="8" fillId="0" borderId="0" xfId="3" applyNumberFormat="1" applyFont="1" applyFill="1" applyAlignment="1">
      <alignment horizontal="center"/>
    </xf>
    <xf numFmtId="0" fontId="8" fillId="0" borderId="0" xfId="3" applyFont="1" applyFill="1" applyAlignment="1">
      <alignment horizontal="center"/>
    </xf>
    <xf numFmtId="17" fontId="8" fillId="0" borderId="0" xfId="3" applyNumberFormat="1" applyFont="1" applyFill="1" applyAlignment="1">
      <alignment horizontal="center"/>
    </xf>
    <xf numFmtId="3" fontId="7" fillId="0" borderId="0" xfId="3" applyNumberFormat="1" applyFont="1" applyFill="1" applyAlignment="1">
      <alignment horizontal="center"/>
    </xf>
    <xf numFmtId="0" fontId="16" fillId="0" borderId="0" xfId="3" applyFont="1" applyAlignment="1">
      <alignment horizontal="left"/>
    </xf>
    <xf numFmtId="3" fontId="8" fillId="3" borderId="0" xfId="3" applyNumberFormat="1" applyFont="1" applyFill="1" applyAlignment="1">
      <alignment horizontal="center"/>
    </xf>
    <xf numFmtId="3" fontId="8" fillId="0" borderId="4" xfId="3" applyNumberFormat="1" applyFont="1" applyBorder="1" applyAlignment="1">
      <alignment horizontal="center"/>
    </xf>
    <xf numFmtId="0" fontId="8" fillId="0" borderId="5" xfId="5" applyFont="1" applyBorder="1"/>
    <xf numFmtId="9" fontId="8" fillId="0" borderId="5" xfId="7" applyFont="1" applyBorder="1"/>
    <xf numFmtId="5" fontId="8" fillId="0" borderId="5" xfId="8" applyNumberFormat="1" applyFont="1" applyBorder="1"/>
    <xf numFmtId="0" fontId="8" fillId="0" borderId="0" xfId="5" applyFont="1" applyBorder="1"/>
    <xf numFmtId="9" fontId="8" fillId="0" borderId="0" xfId="7" applyFont="1"/>
    <xf numFmtId="5" fontId="8" fillId="0" borderId="0" xfId="8" applyNumberFormat="1" applyFont="1"/>
    <xf numFmtId="0" fontId="8" fillId="0" borderId="11" xfId="5" applyFont="1" applyBorder="1"/>
    <xf numFmtId="5" fontId="8" fillId="0" borderId="4" xfId="8" applyNumberFormat="1" applyFont="1" applyBorder="1"/>
    <xf numFmtId="165" fontId="8" fillId="0" borderId="0" xfId="8" applyNumberFormat="1" applyFont="1" applyBorder="1"/>
    <xf numFmtId="164" fontId="8" fillId="0" borderId="0" xfId="8" applyNumberFormat="1" applyFont="1"/>
    <xf numFmtId="0" fontId="7" fillId="0" borderId="6" xfId="0" applyFont="1" applyBorder="1"/>
    <xf numFmtId="0" fontId="7" fillId="0" borderId="3" xfId="0" applyFont="1" applyBorder="1"/>
    <xf numFmtId="164" fontId="8" fillId="0" borderId="0" xfId="8" applyNumberFormat="1" applyFont="1" applyFill="1"/>
    <xf numFmtId="5" fontId="8" fillId="0" borderId="5" xfId="8" applyNumberFormat="1" applyFont="1" applyFill="1" applyBorder="1"/>
    <xf numFmtId="9" fontId="8" fillId="0" borderId="5" xfId="7" applyFont="1" applyFill="1" applyBorder="1"/>
    <xf numFmtId="5" fontId="8" fillId="0" borderId="0" xfId="8" applyNumberFormat="1" applyFont="1" applyFill="1"/>
    <xf numFmtId="9" fontId="8" fillId="0" borderId="0" xfId="7" applyFont="1" applyFill="1"/>
    <xf numFmtId="165" fontId="8" fillId="0" borderId="5" xfId="8" applyNumberFormat="1" applyFont="1" applyFill="1" applyBorder="1"/>
    <xf numFmtId="165" fontId="8" fillId="0" borderId="0" xfId="8" applyNumberFormat="1" applyFont="1" applyFill="1" applyBorder="1"/>
    <xf numFmtId="164" fontId="8" fillId="0" borderId="5" xfId="8" applyNumberFormat="1" applyFont="1" applyFill="1" applyBorder="1"/>
    <xf numFmtId="164" fontId="8" fillId="0" borderId="0" xfId="8" applyNumberFormat="1" applyFont="1" applyFill="1" applyBorder="1"/>
    <xf numFmtId="6" fontId="8" fillId="0" borderId="5" xfId="8" applyNumberFormat="1" applyFont="1" applyFill="1" applyBorder="1"/>
    <xf numFmtId="164" fontId="7" fillId="0" borderId="6" xfId="0" applyNumberFormat="1" applyFont="1" applyFill="1" applyBorder="1"/>
    <xf numFmtId="164" fontId="8" fillId="0" borderId="0" xfId="0" applyNumberFormat="1" applyFont="1" applyFill="1"/>
    <xf numFmtId="164" fontId="7" fillId="0" borderId="3" xfId="0" applyNumberFormat="1" applyFont="1" applyFill="1" applyBorder="1"/>
    <xf numFmtId="9" fontId="7" fillId="0" borderId="7" xfId="7" applyFont="1" applyFill="1" applyBorder="1"/>
    <xf numFmtId="9" fontId="3" fillId="0" borderId="0" xfId="6" applyFont="1" applyFill="1"/>
    <xf numFmtId="0" fontId="8" fillId="0" borderId="0" xfId="0" applyFont="1" applyFill="1"/>
    <xf numFmtId="164" fontId="8" fillId="3" borderId="0" xfId="0" applyNumberFormat="1" applyFont="1" applyFill="1"/>
    <xf numFmtId="167" fontId="7" fillId="0" borderId="7" xfId="1" applyNumberFormat="1" applyFont="1" applyBorder="1"/>
    <xf numFmtId="0" fontId="8" fillId="3" borderId="9" xfId="0" applyFont="1" applyFill="1" applyBorder="1"/>
    <xf numFmtId="164" fontId="7" fillId="0" borderId="0" xfId="0" applyNumberFormat="1" applyFont="1" applyBorder="1"/>
    <xf numFmtId="0" fontId="8" fillId="0" borderId="3" xfId="0" applyFont="1" applyBorder="1"/>
    <xf numFmtId="0" fontId="7" fillId="0" borderId="1" xfId="0" applyFont="1" applyFill="1" applyBorder="1" applyAlignment="1">
      <alignment horizontal="left"/>
    </xf>
    <xf numFmtId="0" fontId="8" fillId="0" borderId="21" xfId="0" applyFont="1" applyBorder="1"/>
    <xf numFmtId="0" fontId="7" fillId="4" borderId="5" xfId="0" applyFont="1" applyFill="1" applyBorder="1"/>
    <xf numFmtId="164" fontId="7" fillId="4" borderId="11" xfId="0" applyNumberFormat="1" applyFont="1" applyFill="1" applyBorder="1" applyAlignment="1"/>
    <xf numFmtId="164" fontId="7" fillId="4" borderId="5" xfId="0" applyNumberFormat="1" applyFont="1" applyFill="1" applyBorder="1" applyAlignment="1"/>
    <xf numFmtId="164" fontId="7" fillId="4" borderId="12" xfId="0" applyNumberFormat="1" applyFont="1" applyFill="1" applyBorder="1" applyAlignment="1"/>
    <xf numFmtId="0" fontId="8" fillId="4" borderId="16" xfId="0" applyFont="1" applyFill="1" applyBorder="1"/>
    <xf numFmtId="14" fontId="7" fillId="3" borderId="5" xfId="0" applyNumberFormat="1" applyFont="1" applyFill="1" applyBorder="1"/>
    <xf numFmtId="0" fontId="8" fillId="3" borderId="0" xfId="0" applyFont="1" applyFill="1" applyAlignment="1">
      <alignment horizontal="left"/>
    </xf>
    <xf numFmtId="0" fontId="7" fillId="3" borderId="4" xfId="0" applyFont="1" applyFill="1" applyBorder="1" applyAlignment="1">
      <alignment horizontal="left"/>
    </xf>
    <xf numFmtId="0" fontId="7" fillId="0" borderId="4" xfId="0" applyFont="1" applyFill="1" applyBorder="1" applyAlignment="1">
      <alignment horizontal="left"/>
    </xf>
    <xf numFmtId="0" fontId="8" fillId="0" borderId="0" xfId="0" applyFont="1" applyFill="1" applyBorder="1" applyAlignment="1">
      <alignment horizontal="left" vertical="center"/>
    </xf>
    <xf numFmtId="0" fontId="7" fillId="0" borderId="11" xfId="0" applyFont="1" applyBorder="1" applyAlignment="1">
      <alignment horizontal="center" wrapText="1"/>
    </xf>
    <xf numFmtId="0" fontId="7" fillId="0" borderId="5" xfId="0" applyFont="1" applyBorder="1" applyAlignment="1">
      <alignment horizontal="center" wrapText="1"/>
    </xf>
    <xf numFmtId="0" fontId="8" fillId="0" borderId="1" xfId="0" applyFont="1" applyBorder="1" applyAlignment="1">
      <alignment horizontal="left"/>
    </xf>
    <xf numFmtId="0" fontId="8" fillId="0" borderId="17" xfId="0" applyFont="1" applyBorder="1" applyAlignment="1">
      <alignment horizontal="left"/>
    </xf>
    <xf numFmtId="0" fontId="7" fillId="0" borderId="11" xfId="0" applyFont="1" applyBorder="1" applyAlignment="1">
      <alignment horizontal="center"/>
    </xf>
    <xf numFmtId="0" fontId="7" fillId="0" borderId="12" xfId="0" applyFont="1" applyBorder="1" applyAlignment="1">
      <alignment horizontal="center"/>
    </xf>
    <xf numFmtId="0" fontId="7" fillId="0" borderId="12" xfId="0" applyFont="1" applyBorder="1" applyAlignment="1">
      <alignment horizontal="center" wrapText="1"/>
    </xf>
  </cellXfs>
  <cellStyles count="9">
    <cellStyle name="Comma" xfId="1" builtinId="3"/>
    <cellStyle name="Comma 2" xfId="8" xr:uid="{00000000-0005-0000-0000-000001000000}"/>
    <cellStyle name="Currency" xfId="2" builtinId="4"/>
    <cellStyle name="Normal" xfId="0" builtinId="0"/>
    <cellStyle name="Normal 2" xfId="3" xr:uid="{00000000-0005-0000-0000-000004000000}"/>
    <cellStyle name="Normal_Book2" xfId="4" xr:uid="{00000000-0005-0000-0000-000005000000}"/>
    <cellStyle name="Normal_Book2 2" xfId="5" xr:uid="{00000000-0005-0000-0000-000006000000}"/>
    <cellStyle name="Percent" xfId="6" builtinId="5"/>
    <cellStyle name="Percent 2" xfId="7" xr:uid="{00000000-0005-0000-0000-000008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ch/Mgmt/01-02/nm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sheetName val="MACH"/>
      <sheetName val="WORKSTATIONS"/>
      <sheetName val="DEPREC"/>
      <sheetName val="FY00"/>
      <sheetName val="FY01"/>
    </sheetNames>
    <sheetDataSet>
      <sheetData sheetId="0">
        <row r="25">
          <cell r="B25">
            <v>45878</v>
          </cell>
        </row>
        <row r="36">
          <cell r="A36" t="str">
            <v xml:space="preserve">  for the period 7/1/99 - 6/30/2000</v>
          </cell>
        </row>
      </sheetData>
      <sheetData sheetId="1"/>
      <sheetData sheetId="2"/>
      <sheetData sheetId="3">
        <row r="55">
          <cell r="AC55">
            <v>124971.97500000001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3"/>
  <sheetViews>
    <sheetView tabSelected="1" zoomScaleNormal="100" workbookViewId="0">
      <selection activeCell="C10" sqref="C10"/>
    </sheetView>
  </sheetViews>
  <sheetFormatPr defaultColWidth="8.85546875" defaultRowHeight="12.75" x14ac:dyDescent="0.2"/>
  <cols>
    <col min="1" max="1" width="26" style="1" customWidth="1"/>
    <col min="2" max="2" width="21" style="1" customWidth="1"/>
    <col min="3" max="8" width="11.42578125" customWidth="1"/>
  </cols>
  <sheetData>
    <row r="1" spans="1:14" ht="15.75" x14ac:dyDescent="0.25">
      <c r="A1" s="87" t="s">
        <v>109</v>
      </c>
    </row>
    <row r="2" spans="1:14" ht="15.75" x14ac:dyDescent="0.25">
      <c r="A2" s="87"/>
    </row>
    <row r="3" spans="1:14" ht="15.75" x14ac:dyDescent="0.25">
      <c r="A3" s="16" t="s">
        <v>184</v>
      </c>
      <c r="B3" s="231" t="s">
        <v>200</v>
      </c>
      <c r="C3" s="231"/>
      <c r="D3" s="231"/>
      <c r="E3" s="231"/>
      <c r="F3" s="18"/>
      <c r="G3" s="18"/>
      <c r="H3" s="18"/>
    </row>
    <row r="4" spans="1:14" ht="15.75" x14ac:dyDescent="0.25">
      <c r="A4" s="16" t="s">
        <v>178</v>
      </c>
      <c r="B4" s="229" t="s">
        <v>201</v>
      </c>
      <c r="C4" s="18"/>
      <c r="D4" s="18"/>
      <c r="E4" s="18"/>
      <c r="G4" s="18"/>
      <c r="H4" s="18"/>
      <c r="K4" s="136" t="s">
        <v>164</v>
      </c>
      <c r="M4" s="143"/>
      <c r="N4" s="85" t="s">
        <v>170</v>
      </c>
    </row>
    <row r="5" spans="1:14" ht="15.75" x14ac:dyDescent="0.25">
      <c r="B5" s="129" t="s">
        <v>165</v>
      </c>
      <c r="C5" s="230" t="s">
        <v>198</v>
      </c>
      <c r="D5" s="230"/>
      <c r="E5" s="230"/>
      <c r="F5" s="18"/>
      <c r="G5" s="18"/>
      <c r="H5" s="18"/>
      <c r="K5" s="87" t="s">
        <v>78</v>
      </c>
    </row>
    <row r="6" spans="1:14" ht="16.5" thickBot="1" x14ac:dyDescent="0.3">
      <c r="A6" s="19"/>
      <c r="B6" s="131" t="s">
        <v>166</v>
      </c>
      <c r="C6" s="130">
        <v>0.29799999999999999</v>
      </c>
      <c r="D6" s="19"/>
      <c r="E6" s="19"/>
      <c r="F6" s="19"/>
      <c r="G6" s="19"/>
      <c r="H6" s="19"/>
    </row>
    <row r="7" spans="1:14" ht="15.75" x14ac:dyDescent="0.25">
      <c r="A7" s="20" t="s">
        <v>1</v>
      </c>
      <c r="B7" s="20"/>
      <c r="C7" s="18"/>
      <c r="D7" s="18"/>
      <c r="E7" s="18"/>
      <c r="F7" s="18"/>
      <c r="G7" s="18"/>
      <c r="H7" s="18"/>
      <c r="K7" s="85" t="s">
        <v>171</v>
      </c>
    </row>
    <row r="8" spans="1:14" ht="47.25" x14ac:dyDescent="0.25">
      <c r="A8" s="21" t="s">
        <v>2</v>
      </c>
      <c r="B8" s="21" t="s">
        <v>173</v>
      </c>
      <c r="C8" s="22" t="s">
        <v>3</v>
      </c>
      <c r="D8" s="22" t="s">
        <v>4</v>
      </c>
      <c r="E8" s="22" t="s">
        <v>5</v>
      </c>
      <c r="F8" s="22" t="s">
        <v>6</v>
      </c>
      <c r="G8" s="22" t="s">
        <v>7</v>
      </c>
      <c r="H8" s="22" t="s">
        <v>8</v>
      </c>
    </row>
    <row r="9" spans="1:14" ht="15.75" x14ac:dyDescent="0.25">
      <c r="A9" s="23"/>
      <c r="B9" s="23"/>
      <c r="C9" s="23" t="s">
        <v>9</v>
      </c>
      <c r="D9" s="23" t="s">
        <v>10</v>
      </c>
      <c r="E9" s="23" t="s">
        <v>11</v>
      </c>
      <c r="F9" s="23" t="s">
        <v>12</v>
      </c>
      <c r="G9" s="23" t="s">
        <v>13</v>
      </c>
      <c r="H9" s="23" t="s">
        <v>14</v>
      </c>
      <c r="K9" s="85" t="s">
        <v>80</v>
      </c>
    </row>
    <row r="10" spans="1:14" ht="15.75" x14ac:dyDescent="0.25">
      <c r="A10" s="24"/>
      <c r="B10" s="24"/>
      <c r="C10" s="24"/>
      <c r="D10" s="24"/>
      <c r="E10" s="24" t="s">
        <v>15</v>
      </c>
      <c r="F10" s="24"/>
      <c r="G10" s="24" t="s">
        <v>16</v>
      </c>
      <c r="H10" s="24" t="s">
        <v>17</v>
      </c>
      <c r="K10" s="85" t="s">
        <v>81</v>
      </c>
    </row>
    <row r="11" spans="1:14" ht="15.75" x14ac:dyDescent="0.25">
      <c r="A11" s="145" t="s">
        <v>39</v>
      </c>
      <c r="B11" s="145" t="s">
        <v>172</v>
      </c>
      <c r="C11" s="146">
        <v>0.05</v>
      </c>
      <c r="D11" s="147">
        <v>101000</v>
      </c>
      <c r="E11" s="116">
        <f>C11*D11</f>
        <v>5050</v>
      </c>
      <c r="F11" s="153">
        <v>0.22</v>
      </c>
      <c r="G11" s="116">
        <f>E11*F11</f>
        <v>1111</v>
      </c>
      <c r="H11" s="116">
        <f>E11+G11</f>
        <v>6161</v>
      </c>
      <c r="K11" s="85" t="s">
        <v>82</v>
      </c>
    </row>
    <row r="12" spans="1:14" ht="15.75" x14ac:dyDescent="0.25">
      <c r="A12" s="148" t="s">
        <v>39</v>
      </c>
      <c r="B12" s="148" t="s">
        <v>174</v>
      </c>
      <c r="C12" s="149">
        <v>0.15</v>
      </c>
      <c r="D12" s="150">
        <v>75000</v>
      </c>
      <c r="E12" s="117">
        <f>C12*D12</f>
        <v>11250</v>
      </c>
      <c r="F12" s="154">
        <v>0.19</v>
      </c>
      <c r="G12" s="117">
        <f>E12*F12</f>
        <v>2137.5</v>
      </c>
      <c r="H12" s="117">
        <f>E12+G12</f>
        <v>13387.5</v>
      </c>
      <c r="K12" s="87" t="s">
        <v>110</v>
      </c>
    </row>
    <row r="13" spans="1:14" ht="15.75" x14ac:dyDescent="0.25">
      <c r="A13" s="151" t="s">
        <v>39</v>
      </c>
      <c r="B13" s="145" t="s">
        <v>175</v>
      </c>
      <c r="C13" s="146">
        <v>0.25</v>
      </c>
      <c r="D13" s="147">
        <v>20880</v>
      </c>
      <c r="E13" s="116">
        <f>C13*D13</f>
        <v>5220</v>
      </c>
      <c r="F13" s="153">
        <v>1.2999999999999999E-2</v>
      </c>
      <c r="G13" s="116">
        <f>E13*F13</f>
        <v>67.86</v>
      </c>
      <c r="H13" s="116">
        <f>E13+G13</f>
        <v>5287.86</v>
      </c>
      <c r="K13" s="87" t="s">
        <v>85</v>
      </c>
    </row>
    <row r="14" spans="1:14" ht="15.75" x14ac:dyDescent="0.25">
      <c r="A14" s="151" t="s">
        <v>39</v>
      </c>
      <c r="B14" s="145"/>
      <c r="C14" s="146"/>
      <c r="D14" s="152"/>
      <c r="E14" s="116">
        <f>C14*D14</f>
        <v>0</v>
      </c>
      <c r="F14" s="153"/>
      <c r="G14" s="116">
        <f>E14*F14</f>
        <v>0</v>
      </c>
      <c r="H14" s="116">
        <f>E14+G14</f>
        <v>0</v>
      </c>
      <c r="K14" s="87" t="s">
        <v>86</v>
      </c>
    </row>
    <row r="15" spans="1:14" ht="15.75" x14ac:dyDescent="0.25">
      <c r="A15" s="26" t="s">
        <v>18</v>
      </c>
      <c r="B15" s="26"/>
      <c r="C15" s="27">
        <f>SUM(C11:C14)</f>
        <v>0.45</v>
      </c>
      <c r="D15" s="116"/>
      <c r="E15" s="116">
        <f>SUM(E11:E14)</f>
        <v>21520</v>
      </c>
      <c r="F15" s="28"/>
      <c r="G15" s="116">
        <f>SUM(G11:G14)</f>
        <v>3316.36</v>
      </c>
      <c r="H15" s="116">
        <f>SUM(H11:H14)</f>
        <v>24836.36</v>
      </c>
      <c r="K15" s="85" t="s">
        <v>87</v>
      </c>
    </row>
    <row r="16" spans="1:14" ht="15.75" x14ac:dyDescent="0.25">
      <c r="A16" s="17"/>
      <c r="B16" s="17"/>
      <c r="C16" s="29"/>
      <c r="D16" s="30"/>
      <c r="E16" s="30"/>
      <c r="F16" s="30"/>
      <c r="G16" s="30"/>
      <c r="H16" s="30"/>
      <c r="K16" s="85" t="s">
        <v>88</v>
      </c>
    </row>
    <row r="17" spans="1:11" ht="15.75" x14ac:dyDescent="0.25">
      <c r="A17" s="17" t="s">
        <v>55</v>
      </c>
      <c r="B17" s="17"/>
      <c r="C17" s="18"/>
      <c r="D17" s="18"/>
      <c r="E17" s="18"/>
      <c r="F17" s="18"/>
      <c r="G17" s="18"/>
      <c r="H17" s="155">
        <f>500*C15</f>
        <v>225</v>
      </c>
      <c r="K17" s="85" t="s">
        <v>89</v>
      </c>
    </row>
    <row r="18" spans="1:11" ht="15.75" x14ac:dyDescent="0.25">
      <c r="A18" s="17" t="s">
        <v>56</v>
      </c>
      <c r="B18" s="17"/>
      <c r="C18" s="18"/>
      <c r="D18" s="18"/>
      <c r="E18" s="18"/>
      <c r="F18" s="18"/>
      <c r="G18" s="18"/>
      <c r="H18" s="155">
        <v>2500</v>
      </c>
      <c r="K18" s="85" t="s">
        <v>90</v>
      </c>
    </row>
    <row r="19" spans="1:11" ht="15.75" x14ac:dyDescent="0.25">
      <c r="A19" s="17" t="s">
        <v>62</v>
      </c>
      <c r="B19" s="17"/>
      <c r="C19" s="18"/>
      <c r="D19" s="18"/>
      <c r="E19" s="18"/>
      <c r="F19" s="18"/>
      <c r="G19" s="18"/>
      <c r="H19" s="155">
        <f>Depreciation!K14</f>
        <v>12500</v>
      </c>
      <c r="K19" s="85" t="s">
        <v>91</v>
      </c>
    </row>
    <row r="20" spans="1:11" ht="15.75" x14ac:dyDescent="0.25">
      <c r="A20" s="17"/>
      <c r="B20" s="17"/>
      <c r="C20" s="18"/>
      <c r="D20" s="18"/>
      <c r="E20" s="18"/>
      <c r="F20" s="18"/>
      <c r="G20" s="18"/>
      <c r="H20" s="118"/>
      <c r="K20" s="89" t="s">
        <v>156</v>
      </c>
    </row>
    <row r="21" spans="1:11" ht="15.75" x14ac:dyDescent="0.25">
      <c r="A21" s="26" t="s">
        <v>19</v>
      </c>
      <c r="B21" s="26"/>
      <c r="C21" s="26"/>
      <c r="D21" s="26"/>
      <c r="E21" s="26"/>
      <c r="F21" s="26"/>
      <c r="G21" s="26"/>
      <c r="H21" s="119">
        <f>SUM(H17:H20)</f>
        <v>15225</v>
      </c>
      <c r="K21" s="89" t="s">
        <v>111</v>
      </c>
    </row>
    <row r="22" spans="1:11" ht="15.75" x14ac:dyDescent="0.25">
      <c r="A22" s="17"/>
      <c r="B22" s="17"/>
      <c r="C22" s="17"/>
      <c r="D22" s="17"/>
      <c r="E22" s="17"/>
      <c r="F22" s="17"/>
      <c r="G22" s="17"/>
      <c r="H22" s="120"/>
      <c r="K22" s="89" t="s">
        <v>112</v>
      </c>
    </row>
    <row r="23" spans="1:11" ht="15.75" x14ac:dyDescent="0.25">
      <c r="A23" s="26" t="s">
        <v>54</v>
      </c>
      <c r="B23" s="26"/>
      <c r="C23" s="26"/>
      <c r="D23" s="26"/>
      <c r="E23" s="26"/>
      <c r="F23" s="26"/>
      <c r="G23" s="26"/>
      <c r="H23" s="156">
        <v>-1000</v>
      </c>
      <c r="K23" s="90" t="s">
        <v>113</v>
      </c>
    </row>
    <row r="24" spans="1:11" ht="15.75" x14ac:dyDescent="0.25">
      <c r="A24" s="17"/>
      <c r="B24" s="17"/>
      <c r="C24" s="17"/>
      <c r="D24" s="17"/>
      <c r="E24" s="17"/>
      <c r="F24" s="17"/>
      <c r="G24" s="17"/>
      <c r="H24" s="120"/>
      <c r="K24" s="90" t="s">
        <v>114</v>
      </c>
    </row>
    <row r="25" spans="1:11" ht="16.5" thickBot="1" x14ac:dyDescent="0.3">
      <c r="A25" s="31" t="s">
        <v>20</v>
      </c>
      <c r="B25" s="31"/>
      <c r="C25" s="31"/>
      <c r="D25" s="31"/>
      <c r="E25" s="31"/>
      <c r="F25" s="31"/>
      <c r="G25" s="31"/>
      <c r="H25" s="121">
        <f>SUM(H15,H21,H23)</f>
        <v>39061.360000000001</v>
      </c>
      <c r="K25" s="90" t="s">
        <v>104</v>
      </c>
    </row>
    <row r="26" spans="1:11" ht="16.5" thickTop="1" x14ac:dyDescent="0.25">
      <c r="A26" s="17"/>
      <c r="B26" s="17"/>
      <c r="C26" s="18"/>
      <c r="D26" s="18"/>
      <c r="E26" s="18"/>
      <c r="F26" s="18"/>
      <c r="G26" s="18"/>
      <c r="H26" s="122"/>
      <c r="K26" s="90" t="s">
        <v>115</v>
      </c>
    </row>
    <row r="27" spans="1:11" ht="15.75" x14ac:dyDescent="0.25">
      <c r="A27" s="17" t="s">
        <v>195</v>
      </c>
      <c r="B27" s="219" t="s">
        <v>196</v>
      </c>
      <c r="C27" s="18"/>
      <c r="D27" s="18"/>
      <c r="E27" s="18"/>
      <c r="F27" s="18"/>
      <c r="G27" s="18"/>
      <c r="H27" s="217">
        <v>10000</v>
      </c>
      <c r="K27" s="90"/>
    </row>
    <row r="28" spans="1:11" ht="15.75" x14ac:dyDescent="0.25">
      <c r="A28" s="17"/>
      <c r="B28" s="17"/>
      <c r="C28" s="18"/>
      <c r="D28" s="18"/>
      <c r="E28" s="18"/>
      <c r="F28" s="18"/>
      <c r="G28" s="18"/>
      <c r="H28" s="122"/>
      <c r="K28" s="90"/>
    </row>
    <row r="29" spans="1:11" ht="16.5" thickBot="1" x14ac:dyDescent="0.3">
      <c r="A29" s="31" t="s">
        <v>194</v>
      </c>
      <c r="B29" s="31"/>
      <c r="C29" s="31"/>
      <c r="D29" s="31"/>
      <c r="E29" s="31"/>
      <c r="F29" s="31"/>
      <c r="G29" s="31"/>
      <c r="H29" s="121">
        <f>H25-H27</f>
        <v>29061.360000000001</v>
      </c>
      <c r="K29" s="90"/>
    </row>
    <row r="30" spans="1:11" ht="16.5" thickTop="1" x14ac:dyDescent="0.25">
      <c r="A30" s="17"/>
      <c r="B30" s="17"/>
      <c r="C30" s="18"/>
      <c r="D30" s="18"/>
      <c r="E30" s="18"/>
      <c r="F30" s="18"/>
      <c r="G30" s="18"/>
      <c r="H30" s="122"/>
      <c r="K30" s="90"/>
    </row>
    <row r="31" spans="1:11" ht="15.75" x14ac:dyDescent="0.25">
      <c r="A31" s="17"/>
      <c r="B31" s="17"/>
      <c r="C31" s="18"/>
      <c r="D31" s="18"/>
      <c r="E31" s="18"/>
      <c r="F31" s="18"/>
      <c r="G31" s="18"/>
      <c r="H31" s="122"/>
      <c r="K31" s="90"/>
    </row>
    <row r="32" spans="1:11" ht="15.75" x14ac:dyDescent="0.25">
      <c r="A32" s="17" t="s">
        <v>169</v>
      </c>
      <c r="B32" s="17"/>
      <c r="C32" s="18"/>
      <c r="D32" s="18"/>
      <c r="E32" s="18"/>
      <c r="F32" s="18"/>
      <c r="G32" s="18"/>
      <c r="H32" s="157">
        <v>2000</v>
      </c>
      <c r="K32" s="90" t="s">
        <v>116</v>
      </c>
    </row>
    <row r="33" spans="1:11" ht="15.75" x14ac:dyDescent="0.25">
      <c r="A33" s="17"/>
      <c r="B33" s="17"/>
      <c r="C33" s="17"/>
      <c r="D33" s="17"/>
      <c r="E33" s="17"/>
      <c r="F33" s="17"/>
      <c r="G33" s="17"/>
      <c r="H33" s="123"/>
      <c r="K33" s="90" t="s">
        <v>117</v>
      </c>
    </row>
    <row r="34" spans="1:11" ht="16.5" thickBot="1" x14ac:dyDescent="0.3">
      <c r="A34" s="32" t="s">
        <v>185</v>
      </c>
      <c r="B34" s="32"/>
      <c r="C34" s="33"/>
      <c r="D34" s="33"/>
      <c r="E34" s="33"/>
      <c r="F34" s="33"/>
      <c r="G34" s="33"/>
      <c r="H34" s="218">
        <f>H29/H32</f>
        <v>14.53068</v>
      </c>
      <c r="K34" s="90" t="s">
        <v>150</v>
      </c>
    </row>
    <row r="35" spans="1:11" ht="15.75" x14ac:dyDescent="0.25">
      <c r="A35" s="16" t="s">
        <v>161</v>
      </c>
      <c r="B35" s="17"/>
      <c r="C35" s="18"/>
      <c r="D35" s="18"/>
      <c r="E35" s="18"/>
      <c r="F35" s="18"/>
      <c r="G35" s="18"/>
      <c r="H35" s="149">
        <v>0.8</v>
      </c>
      <c r="K35" s="90" t="s">
        <v>108</v>
      </c>
    </row>
    <row r="36" spans="1:11" ht="16.5" thickBot="1" x14ac:dyDescent="0.3">
      <c r="A36" s="32" t="s">
        <v>197</v>
      </c>
      <c r="B36" s="32"/>
      <c r="C36" s="32"/>
      <c r="D36" s="32"/>
      <c r="E36" s="32"/>
      <c r="F36" s="32"/>
      <c r="G36" s="32"/>
      <c r="H36" s="124">
        <f>(H25/H32)*(1+C6)</f>
        <v>25.350822640000001</v>
      </c>
    </row>
    <row r="37" spans="1:11" ht="15.75" x14ac:dyDescent="0.25">
      <c r="A37" s="65" t="s">
        <v>162</v>
      </c>
      <c r="H37" s="149">
        <f>1-H35</f>
        <v>0.19999999999999996</v>
      </c>
      <c r="K37" s="90" t="s">
        <v>176</v>
      </c>
    </row>
    <row r="40" spans="1:11" s="5" customFormat="1" x14ac:dyDescent="0.2">
      <c r="A40" s="1"/>
      <c r="B40" s="1"/>
      <c r="C40"/>
      <c r="D40"/>
      <c r="E40"/>
      <c r="F40"/>
      <c r="G40"/>
      <c r="H40"/>
    </row>
    <row r="41" spans="1:11" s="5" customFormat="1" x14ac:dyDescent="0.2">
      <c r="A41" s="1"/>
      <c r="B41" s="1"/>
      <c r="C41"/>
      <c r="D41"/>
      <c r="E41"/>
      <c r="F41"/>
      <c r="G41"/>
      <c r="H41"/>
    </row>
    <row r="42" spans="1:11" s="5" customFormat="1" x14ac:dyDescent="0.2">
      <c r="A42" s="1"/>
      <c r="B42" s="1"/>
      <c r="C42"/>
      <c r="D42"/>
      <c r="E42"/>
      <c r="F42"/>
      <c r="G42"/>
      <c r="H42"/>
    </row>
    <row r="61" spans="9:14" x14ac:dyDescent="0.2">
      <c r="I61" s="8"/>
      <c r="J61" s="8"/>
      <c r="K61" s="8"/>
      <c r="L61" s="8"/>
      <c r="M61" s="8"/>
      <c r="N61" s="8"/>
    </row>
    <row r="62" spans="9:14" x14ac:dyDescent="0.2">
      <c r="I62" s="8"/>
      <c r="J62" s="8"/>
      <c r="K62" s="8"/>
      <c r="L62" s="8"/>
      <c r="M62" s="8"/>
      <c r="N62" s="8"/>
    </row>
    <row r="63" spans="9:14" x14ac:dyDescent="0.2">
      <c r="I63" s="8"/>
      <c r="J63" s="8"/>
      <c r="K63" s="8"/>
      <c r="L63" s="8"/>
      <c r="M63" s="8"/>
      <c r="N63" s="8"/>
    </row>
  </sheetData>
  <mergeCells count="2">
    <mergeCell ref="C5:E5"/>
    <mergeCell ref="B3:E3"/>
  </mergeCells>
  <phoneticPr fontId="0" type="noConversion"/>
  <pageMargins left="0.75" right="0.75" top="0.5" bottom="0.25" header="0.5" footer="0.5"/>
  <pageSetup scale="97" orientation="landscape" r:id="rId1"/>
  <headerFooter alignWithMargins="0">
    <oddFooter>&amp;L&amp;9Budget Office_&amp;F/&amp;A_Updated 7/20/2015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8"/>
  <sheetViews>
    <sheetView zoomScaleNormal="100" workbookViewId="0">
      <pane xSplit="2" ySplit="8" topLeftCell="C9" activePane="bottomRight" state="frozen"/>
      <selection pane="topRight" activeCell="C1" sqref="C1"/>
      <selection pane="bottomLeft" activeCell="A8" sqref="A8"/>
      <selection pane="bottomRight" activeCell="H1" sqref="H1"/>
    </sheetView>
  </sheetViews>
  <sheetFormatPr defaultColWidth="9.140625" defaultRowHeight="15.75" x14ac:dyDescent="0.25"/>
  <cols>
    <col min="1" max="1" width="2.85546875" style="162" customWidth="1"/>
    <col min="2" max="2" width="31.85546875" style="162" customWidth="1"/>
    <col min="3" max="3" width="14.28515625" style="163" customWidth="1"/>
    <col min="4" max="4" width="14" style="164" customWidth="1"/>
    <col min="5" max="5" width="14.5703125" style="165" customWidth="1"/>
    <col min="6" max="6" width="11.7109375" style="165" customWidth="1"/>
    <col min="7" max="7" width="9.85546875" style="165" customWidth="1"/>
    <col min="8" max="8" width="13" style="165" customWidth="1"/>
    <col min="9" max="9" width="14.42578125" style="165" customWidth="1"/>
    <col min="10" max="10" width="8.140625" style="165" customWidth="1"/>
    <col min="11" max="11" width="11.5703125" style="165" customWidth="1"/>
    <col min="12" max="16384" width="9.140625" style="162"/>
  </cols>
  <sheetData>
    <row r="1" spans="1:12" x14ac:dyDescent="0.25">
      <c r="B1" s="87" t="s">
        <v>179</v>
      </c>
      <c r="E1" s="160"/>
      <c r="F1" s="161"/>
      <c r="G1" s="161"/>
    </row>
    <row r="2" spans="1:12" x14ac:dyDescent="0.25">
      <c r="B2" s="87"/>
      <c r="E2" s="160"/>
      <c r="F2" s="161"/>
      <c r="G2" s="161"/>
    </row>
    <row r="3" spans="1:12" x14ac:dyDescent="0.25">
      <c r="B3" s="16" t="s">
        <v>184</v>
      </c>
      <c r="C3" s="232" t="str">
        <f>IF('Per Unit Rate Calculations'!C2:F2="","",'Per Unit Rate Calculations'!C2:F2)</f>
        <v/>
      </c>
      <c r="D3" s="232"/>
      <c r="E3" s="232"/>
      <c r="F3" s="232"/>
      <c r="G3" s="161"/>
    </row>
    <row r="4" spans="1:12" x14ac:dyDescent="0.25">
      <c r="B4" s="128" t="s">
        <v>178</v>
      </c>
      <c r="C4" s="159" t="str">
        <f>IF('Per Unit Rate Calculations'!C4="","",'Per Unit Rate Calculations'!C4)</f>
        <v/>
      </c>
      <c r="E4" s="160"/>
    </row>
    <row r="5" spans="1:12" x14ac:dyDescent="0.25">
      <c r="B5" s="140"/>
      <c r="E5" s="160"/>
    </row>
    <row r="6" spans="1:12" x14ac:dyDescent="0.25">
      <c r="B6" s="140"/>
      <c r="E6" s="160"/>
      <c r="G6" s="160"/>
    </row>
    <row r="7" spans="1:12" x14ac:dyDescent="0.25">
      <c r="D7" s="185" t="s">
        <v>70</v>
      </c>
      <c r="G7" s="160" t="s">
        <v>63</v>
      </c>
      <c r="H7" s="160" t="s">
        <v>70</v>
      </c>
      <c r="I7" s="160" t="s">
        <v>71</v>
      </c>
      <c r="J7" s="160" t="s">
        <v>72</v>
      </c>
    </row>
    <row r="8" spans="1:12" s="160" customFormat="1" ht="18.75" x14ac:dyDescent="0.25">
      <c r="B8" s="160" t="s">
        <v>77</v>
      </c>
      <c r="C8" s="166" t="s">
        <v>57</v>
      </c>
      <c r="D8" s="160" t="s">
        <v>76</v>
      </c>
      <c r="E8" s="160" t="s">
        <v>58</v>
      </c>
      <c r="F8" s="160" t="s">
        <v>73</v>
      </c>
      <c r="G8" s="160" t="s">
        <v>64</v>
      </c>
      <c r="H8" s="160" t="s">
        <v>74</v>
      </c>
      <c r="I8" s="160" t="s">
        <v>183</v>
      </c>
      <c r="J8" s="160" t="s">
        <v>75</v>
      </c>
      <c r="K8" s="160" t="s">
        <v>59</v>
      </c>
    </row>
    <row r="10" spans="1:12" x14ac:dyDescent="0.25">
      <c r="A10" s="162">
        <v>1</v>
      </c>
      <c r="B10" s="167" t="s">
        <v>65</v>
      </c>
      <c r="C10" s="168" t="s">
        <v>67</v>
      </c>
      <c r="D10" s="169">
        <v>250000</v>
      </c>
      <c r="E10" s="170" t="s">
        <v>60</v>
      </c>
      <c r="F10" s="170" t="s">
        <v>61</v>
      </c>
      <c r="G10" s="170">
        <v>1234</v>
      </c>
      <c r="H10" s="171">
        <v>42194</v>
      </c>
      <c r="I10" s="169">
        <f>D10</f>
        <v>250000</v>
      </c>
      <c r="J10" s="187">
        <v>20</v>
      </c>
      <c r="K10" s="172">
        <f>I10/J10</f>
        <v>12500</v>
      </c>
    </row>
    <row r="11" spans="1:12" x14ac:dyDescent="0.25">
      <c r="A11" s="162">
        <v>2</v>
      </c>
      <c r="B11" s="167" t="s">
        <v>66</v>
      </c>
      <c r="C11" s="168" t="s">
        <v>68</v>
      </c>
      <c r="D11" s="169">
        <v>100000</v>
      </c>
      <c r="E11" s="170" t="s">
        <v>60</v>
      </c>
      <c r="F11" s="170" t="s">
        <v>69</v>
      </c>
      <c r="G11" s="170">
        <v>1234</v>
      </c>
      <c r="H11" s="171">
        <v>40828</v>
      </c>
      <c r="I11" s="169">
        <f>D11</f>
        <v>100000</v>
      </c>
      <c r="J11" s="170">
        <v>15</v>
      </c>
      <c r="K11" s="172">
        <f>I11/J11</f>
        <v>6666.666666666667</v>
      </c>
    </row>
    <row r="12" spans="1:12" ht="18.75" x14ac:dyDescent="0.25">
      <c r="C12" s="173"/>
      <c r="D12" s="174"/>
      <c r="E12" s="175"/>
      <c r="F12" s="175"/>
      <c r="G12" s="175"/>
      <c r="H12" s="176"/>
      <c r="I12" s="177"/>
      <c r="J12" s="188"/>
      <c r="K12" s="177"/>
      <c r="L12" s="186">
        <v>2</v>
      </c>
    </row>
    <row r="13" spans="1:12" x14ac:dyDescent="0.25">
      <c r="D13" s="178"/>
      <c r="H13" s="179"/>
      <c r="I13" s="172"/>
      <c r="J13" s="180"/>
      <c r="K13" s="172"/>
    </row>
    <row r="14" spans="1:12" ht="18.75" x14ac:dyDescent="0.25">
      <c r="B14" s="160" t="s">
        <v>0</v>
      </c>
      <c r="D14" s="178">
        <f>SUM(D10:D12)</f>
        <v>350000</v>
      </c>
      <c r="H14" s="179"/>
      <c r="I14" s="178">
        <f>SUM(I10:I12)</f>
        <v>350000</v>
      </c>
      <c r="J14" s="180"/>
      <c r="K14" s="172">
        <f>SUM(K10:K10)</f>
        <v>12500</v>
      </c>
      <c r="L14" s="186">
        <v>3</v>
      </c>
    </row>
    <row r="15" spans="1:12" x14ac:dyDescent="0.25">
      <c r="H15" s="179"/>
      <c r="I15" s="180"/>
      <c r="J15" s="180"/>
      <c r="K15" s="180"/>
    </row>
    <row r="16" spans="1:12" x14ac:dyDescent="0.25">
      <c r="H16" s="179"/>
      <c r="I16" s="180"/>
      <c r="J16" s="180"/>
      <c r="K16" s="180"/>
    </row>
    <row r="17" spans="1:11" ht="18.75" x14ac:dyDescent="0.25">
      <c r="A17" s="186">
        <v>1</v>
      </c>
      <c r="B17" s="162" t="s">
        <v>182</v>
      </c>
      <c r="H17" s="179"/>
      <c r="I17" s="180"/>
      <c r="J17" s="180"/>
      <c r="K17" s="180"/>
    </row>
    <row r="18" spans="1:11" ht="18.75" x14ac:dyDescent="0.25">
      <c r="A18" s="186">
        <v>2</v>
      </c>
      <c r="B18" s="162" t="s">
        <v>180</v>
      </c>
      <c r="H18" s="179"/>
      <c r="I18" s="180"/>
      <c r="J18" s="180"/>
      <c r="K18" s="180"/>
    </row>
    <row r="19" spans="1:11" ht="18.75" x14ac:dyDescent="0.25">
      <c r="A19" s="186">
        <v>3</v>
      </c>
      <c r="B19" s="181" t="s">
        <v>181</v>
      </c>
      <c r="C19" s="182"/>
      <c r="E19" s="183"/>
      <c r="F19" s="183"/>
      <c r="G19" s="183"/>
      <c r="H19" s="184"/>
      <c r="I19" s="180"/>
      <c r="J19" s="180"/>
      <c r="K19" s="180"/>
    </row>
    <row r="20" spans="1:11" x14ac:dyDescent="0.25">
      <c r="H20" s="179"/>
      <c r="I20" s="180"/>
      <c r="J20" s="180"/>
      <c r="K20" s="180"/>
    </row>
    <row r="21" spans="1:11" x14ac:dyDescent="0.25">
      <c r="H21" s="179"/>
      <c r="I21" s="180"/>
      <c r="J21" s="180"/>
      <c r="K21" s="180"/>
    </row>
    <row r="22" spans="1:11" x14ac:dyDescent="0.25">
      <c r="H22" s="179"/>
      <c r="I22" s="180"/>
      <c r="J22" s="180"/>
      <c r="K22" s="180"/>
    </row>
    <row r="23" spans="1:11" x14ac:dyDescent="0.25">
      <c r="H23" s="179"/>
      <c r="I23" s="180"/>
      <c r="J23" s="180"/>
      <c r="K23" s="180"/>
    </row>
    <row r="24" spans="1:11" x14ac:dyDescent="0.25">
      <c r="H24" s="179"/>
      <c r="I24" s="180"/>
      <c r="J24" s="180"/>
      <c r="K24" s="180"/>
    </row>
    <row r="25" spans="1:11" x14ac:dyDescent="0.25">
      <c r="H25" s="179"/>
      <c r="I25" s="180"/>
      <c r="J25" s="180"/>
      <c r="K25" s="180"/>
    </row>
    <row r="26" spans="1:11" x14ac:dyDescent="0.25">
      <c r="H26" s="179"/>
      <c r="I26" s="180"/>
      <c r="J26" s="180"/>
      <c r="K26" s="180"/>
    </row>
    <row r="27" spans="1:11" x14ac:dyDescent="0.25">
      <c r="H27" s="179"/>
      <c r="I27" s="180"/>
      <c r="J27" s="180"/>
      <c r="K27" s="180"/>
    </row>
    <row r="28" spans="1:11" x14ac:dyDescent="0.25">
      <c r="H28" s="179"/>
      <c r="I28" s="180"/>
      <c r="J28" s="180"/>
      <c r="K28" s="180"/>
    </row>
    <row r="29" spans="1:11" x14ac:dyDescent="0.25">
      <c r="H29" s="179"/>
      <c r="I29" s="180"/>
      <c r="J29" s="180"/>
      <c r="K29" s="180"/>
    </row>
    <row r="30" spans="1:11" x14ac:dyDescent="0.25">
      <c r="H30" s="179"/>
      <c r="I30" s="180"/>
      <c r="J30" s="180"/>
      <c r="K30" s="180"/>
    </row>
    <row r="31" spans="1:11" x14ac:dyDescent="0.25">
      <c r="H31" s="179"/>
      <c r="I31" s="180"/>
      <c r="J31" s="180"/>
      <c r="K31" s="180"/>
    </row>
    <row r="32" spans="1:11" x14ac:dyDescent="0.25">
      <c r="H32" s="179"/>
      <c r="I32" s="180"/>
      <c r="J32" s="180"/>
      <c r="K32" s="180"/>
    </row>
    <row r="33" spans="8:11" x14ac:dyDescent="0.25">
      <c r="H33" s="179"/>
      <c r="I33" s="180"/>
      <c r="J33" s="180"/>
      <c r="K33" s="180"/>
    </row>
    <row r="34" spans="8:11" x14ac:dyDescent="0.25">
      <c r="H34" s="179"/>
      <c r="I34" s="180"/>
      <c r="J34" s="180"/>
      <c r="K34" s="180"/>
    </row>
    <row r="35" spans="8:11" x14ac:dyDescent="0.25">
      <c r="H35" s="179"/>
      <c r="I35" s="180"/>
      <c r="J35" s="180"/>
      <c r="K35" s="180"/>
    </row>
    <row r="36" spans="8:11" x14ac:dyDescent="0.25">
      <c r="H36" s="179"/>
      <c r="I36" s="180"/>
      <c r="J36" s="180"/>
      <c r="K36" s="180"/>
    </row>
    <row r="37" spans="8:11" x14ac:dyDescent="0.25">
      <c r="H37" s="179"/>
      <c r="I37" s="180"/>
      <c r="J37" s="180"/>
      <c r="K37" s="180"/>
    </row>
    <row r="38" spans="8:11" x14ac:dyDescent="0.25">
      <c r="H38" s="179"/>
      <c r="I38" s="180"/>
      <c r="J38" s="180"/>
      <c r="K38" s="180"/>
    </row>
    <row r="39" spans="8:11" x14ac:dyDescent="0.25">
      <c r="H39" s="179"/>
      <c r="I39" s="180"/>
      <c r="J39" s="180"/>
      <c r="K39" s="180"/>
    </row>
    <row r="40" spans="8:11" x14ac:dyDescent="0.25">
      <c r="H40" s="179"/>
      <c r="I40" s="180"/>
      <c r="J40" s="180"/>
      <c r="K40" s="180"/>
    </row>
    <row r="41" spans="8:11" x14ac:dyDescent="0.25">
      <c r="H41" s="179"/>
      <c r="I41" s="180"/>
      <c r="J41" s="180"/>
      <c r="K41" s="180"/>
    </row>
    <row r="42" spans="8:11" x14ac:dyDescent="0.25">
      <c r="H42" s="179"/>
      <c r="I42" s="180"/>
      <c r="J42" s="180"/>
      <c r="K42" s="180"/>
    </row>
    <row r="43" spans="8:11" x14ac:dyDescent="0.25">
      <c r="H43" s="179"/>
      <c r="I43" s="180"/>
      <c r="J43" s="180"/>
      <c r="K43" s="180"/>
    </row>
    <row r="44" spans="8:11" x14ac:dyDescent="0.25">
      <c r="I44" s="180"/>
      <c r="J44" s="180"/>
      <c r="K44" s="180"/>
    </row>
    <row r="45" spans="8:11" x14ac:dyDescent="0.25">
      <c r="I45" s="180"/>
      <c r="J45" s="180"/>
      <c r="K45" s="180"/>
    </row>
    <row r="46" spans="8:11" x14ac:dyDescent="0.25">
      <c r="I46" s="180"/>
      <c r="J46" s="180"/>
      <c r="K46" s="180"/>
    </row>
    <row r="47" spans="8:11" x14ac:dyDescent="0.25">
      <c r="I47" s="180"/>
      <c r="J47" s="180"/>
      <c r="K47" s="180"/>
    </row>
    <row r="48" spans="8:11" x14ac:dyDescent="0.25">
      <c r="I48" s="180"/>
      <c r="J48" s="180"/>
      <c r="K48" s="180"/>
    </row>
    <row r="49" spans="9:11" x14ac:dyDescent="0.25">
      <c r="I49" s="180"/>
      <c r="J49" s="180"/>
      <c r="K49" s="180"/>
    </row>
    <row r="50" spans="9:11" x14ac:dyDescent="0.25">
      <c r="I50" s="180"/>
      <c r="J50" s="180"/>
      <c r="K50" s="180"/>
    </row>
    <row r="51" spans="9:11" x14ac:dyDescent="0.25">
      <c r="I51" s="180"/>
      <c r="J51" s="180"/>
      <c r="K51" s="180"/>
    </row>
    <row r="52" spans="9:11" x14ac:dyDescent="0.25">
      <c r="I52" s="180"/>
      <c r="J52" s="180"/>
      <c r="K52" s="180"/>
    </row>
    <row r="53" spans="9:11" x14ac:dyDescent="0.25">
      <c r="I53" s="180"/>
      <c r="J53" s="180"/>
      <c r="K53" s="180"/>
    </row>
    <row r="54" spans="9:11" x14ac:dyDescent="0.25">
      <c r="I54" s="180"/>
      <c r="J54" s="180"/>
      <c r="K54" s="180"/>
    </row>
    <row r="55" spans="9:11" x14ac:dyDescent="0.25">
      <c r="I55" s="180"/>
      <c r="J55" s="180"/>
      <c r="K55" s="180"/>
    </row>
    <row r="56" spans="9:11" x14ac:dyDescent="0.25">
      <c r="I56" s="180"/>
      <c r="J56" s="180"/>
      <c r="K56" s="180"/>
    </row>
    <row r="57" spans="9:11" x14ac:dyDescent="0.25">
      <c r="I57" s="180"/>
      <c r="J57" s="180"/>
      <c r="K57" s="180"/>
    </row>
    <row r="58" spans="9:11" x14ac:dyDescent="0.25">
      <c r="I58" s="180"/>
      <c r="J58" s="180"/>
      <c r="K58" s="180"/>
    </row>
    <row r="59" spans="9:11" x14ac:dyDescent="0.25">
      <c r="I59" s="180"/>
      <c r="J59" s="180"/>
      <c r="K59" s="180"/>
    </row>
    <row r="60" spans="9:11" x14ac:dyDescent="0.25">
      <c r="I60" s="180"/>
      <c r="J60" s="180"/>
      <c r="K60" s="180"/>
    </row>
    <row r="61" spans="9:11" x14ac:dyDescent="0.25">
      <c r="I61" s="180"/>
      <c r="J61" s="180"/>
      <c r="K61" s="180"/>
    </row>
    <row r="62" spans="9:11" x14ac:dyDescent="0.25">
      <c r="I62" s="180"/>
      <c r="J62" s="180"/>
      <c r="K62" s="180"/>
    </row>
    <row r="63" spans="9:11" x14ac:dyDescent="0.25">
      <c r="I63" s="180"/>
      <c r="J63" s="180"/>
      <c r="K63" s="180"/>
    </row>
    <row r="64" spans="9:11" x14ac:dyDescent="0.25">
      <c r="I64" s="180"/>
      <c r="J64" s="180"/>
      <c r="K64" s="180"/>
    </row>
    <row r="65" spans="9:11" x14ac:dyDescent="0.25">
      <c r="I65" s="180"/>
      <c r="J65" s="180"/>
      <c r="K65" s="180"/>
    </row>
    <row r="66" spans="9:11" x14ac:dyDescent="0.25">
      <c r="I66" s="180"/>
      <c r="J66" s="180"/>
      <c r="K66" s="180"/>
    </row>
    <row r="67" spans="9:11" x14ac:dyDescent="0.25">
      <c r="I67" s="180"/>
      <c r="J67" s="180"/>
      <c r="K67" s="180"/>
    </row>
    <row r="68" spans="9:11" x14ac:dyDescent="0.25">
      <c r="I68" s="180"/>
      <c r="J68" s="180"/>
      <c r="K68" s="180"/>
    </row>
    <row r="69" spans="9:11" x14ac:dyDescent="0.25">
      <c r="I69" s="180"/>
      <c r="J69" s="180"/>
      <c r="K69" s="180"/>
    </row>
    <row r="70" spans="9:11" x14ac:dyDescent="0.25">
      <c r="I70" s="180"/>
      <c r="J70" s="180"/>
      <c r="K70" s="180"/>
    </row>
    <row r="71" spans="9:11" x14ac:dyDescent="0.25">
      <c r="I71" s="180"/>
      <c r="J71" s="180"/>
      <c r="K71" s="180"/>
    </row>
    <row r="72" spans="9:11" x14ac:dyDescent="0.25">
      <c r="I72" s="180"/>
      <c r="J72" s="180"/>
      <c r="K72" s="180"/>
    </row>
    <row r="73" spans="9:11" x14ac:dyDescent="0.25">
      <c r="I73" s="180"/>
      <c r="J73" s="180"/>
      <c r="K73" s="180"/>
    </row>
    <row r="74" spans="9:11" x14ac:dyDescent="0.25">
      <c r="I74" s="180"/>
      <c r="J74" s="180"/>
      <c r="K74" s="180"/>
    </row>
    <row r="75" spans="9:11" x14ac:dyDescent="0.25">
      <c r="I75" s="180"/>
      <c r="J75" s="180"/>
      <c r="K75" s="180"/>
    </row>
    <row r="76" spans="9:11" x14ac:dyDescent="0.25">
      <c r="I76" s="180"/>
      <c r="J76" s="180"/>
      <c r="K76" s="180"/>
    </row>
    <row r="77" spans="9:11" x14ac:dyDescent="0.25">
      <c r="I77" s="180"/>
      <c r="J77" s="180"/>
      <c r="K77" s="180"/>
    </row>
    <row r="78" spans="9:11" x14ac:dyDescent="0.25">
      <c r="I78" s="180"/>
      <c r="J78" s="180"/>
      <c r="K78" s="180"/>
    </row>
    <row r="79" spans="9:11" x14ac:dyDescent="0.25">
      <c r="I79" s="180"/>
      <c r="J79" s="180"/>
      <c r="K79" s="180"/>
    </row>
    <row r="80" spans="9:11" x14ac:dyDescent="0.25">
      <c r="I80" s="180"/>
      <c r="J80" s="180"/>
      <c r="K80" s="180"/>
    </row>
    <row r="81" spans="9:11" x14ac:dyDescent="0.25">
      <c r="I81" s="180"/>
      <c r="J81" s="180"/>
      <c r="K81" s="180"/>
    </row>
    <row r="82" spans="9:11" x14ac:dyDescent="0.25">
      <c r="I82" s="180"/>
      <c r="J82" s="180"/>
      <c r="K82" s="180"/>
    </row>
    <row r="83" spans="9:11" x14ac:dyDescent="0.25">
      <c r="I83" s="180"/>
      <c r="J83" s="180"/>
      <c r="K83" s="180"/>
    </row>
    <row r="84" spans="9:11" x14ac:dyDescent="0.25">
      <c r="I84" s="180"/>
      <c r="J84" s="180"/>
      <c r="K84" s="180"/>
    </row>
    <row r="85" spans="9:11" x14ac:dyDescent="0.25">
      <c r="I85" s="180"/>
      <c r="J85" s="180"/>
      <c r="K85" s="180"/>
    </row>
    <row r="86" spans="9:11" x14ac:dyDescent="0.25">
      <c r="I86" s="180"/>
      <c r="J86" s="180"/>
      <c r="K86" s="180"/>
    </row>
    <row r="87" spans="9:11" x14ac:dyDescent="0.25">
      <c r="I87" s="180"/>
      <c r="J87" s="180"/>
      <c r="K87" s="180"/>
    </row>
    <row r="88" spans="9:11" x14ac:dyDescent="0.25">
      <c r="I88" s="180"/>
      <c r="J88" s="180"/>
      <c r="K88" s="180"/>
    </row>
    <row r="89" spans="9:11" x14ac:dyDescent="0.25">
      <c r="I89" s="180"/>
      <c r="J89" s="180"/>
      <c r="K89" s="180"/>
    </row>
    <row r="90" spans="9:11" x14ac:dyDescent="0.25">
      <c r="I90" s="180"/>
      <c r="J90" s="180"/>
      <c r="K90" s="180"/>
    </row>
    <row r="91" spans="9:11" x14ac:dyDescent="0.25">
      <c r="I91" s="180"/>
      <c r="J91" s="180"/>
      <c r="K91" s="180"/>
    </row>
    <row r="92" spans="9:11" x14ac:dyDescent="0.25">
      <c r="I92" s="180"/>
      <c r="J92" s="180"/>
      <c r="K92" s="180"/>
    </row>
    <row r="93" spans="9:11" x14ac:dyDescent="0.25">
      <c r="I93" s="180"/>
      <c r="J93" s="180"/>
      <c r="K93" s="180"/>
    </row>
    <row r="94" spans="9:11" x14ac:dyDescent="0.25">
      <c r="I94" s="180"/>
      <c r="J94" s="180"/>
      <c r="K94" s="180"/>
    </row>
    <row r="95" spans="9:11" x14ac:dyDescent="0.25">
      <c r="I95" s="180"/>
      <c r="J95" s="180"/>
      <c r="K95" s="180"/>
    </row>
    <row r="96" spans="9:11" x14ac:dyDescent="0.25">
      <c r="I96" s="180"/>
      <c r="J96" s="180"/>
      <c r="K96" s="180"/>
    </row>
    <row r="97" spans="9:11" x14ac:dyDescent="0.25">
      <c r="I97" s="180"/>
      <c r="J97" s="180"/>
      <c r="K97" s="180"/>
    </row>
    <row r="98" spans="9:11" x14ac:dyDescent="0.25">
      <c r="I98" s="180"/>
      <c r="J98" s="180"/>
      <c r="K98" s="180"/>
    </row>
    <row r="99" spans="9:11" x14ac:dyDescent="0.25">
      <c r="I99" s="180"/>
      <c r="J99" s="180"/>
      <c r="K99" s="180"/>
    </row>
    <row r="100" spans="9:11" x14ac:dyDescent="0.25">
      <c r="I100" s="180"/>
      <c r="J100" s="180"/>
      <c r="K100" s="180"/>
    </row>
    <row r="101" spans="9:11" x14ac:dyDescent="0.25">
      <c r="I101" s="180"/>
      <c r="J101" s="180"/>
      <c r="K101" s="180"/>
    </row>
    <row r="102" spans="9:11" x14ac:dyDescent="0.25">
      <c r="I102" s="180"/>
      <c r="J102" s="180"/>
      <c r="K102" s="180"/>
    </row>
    <row r="103" spans="9:11" x14ac:dyDescent="0.25">
      <c r="I103" s="180"/>
      <c r="J103" s="180"/>
      <c r="K103" s="180"/>
    </row>
    <row r="104" spans="9:11" x14ac:dyDescent="0.25">
      <c r="I104" s="180"/>
      <c r="J104" s="180"/>
      <c r="K104" s="180"/>
    </row>
    <row r="105" spans="9:11" x14ac:dyDescent="0.25">
      <c r="I105" s="180"/>
      <c r="J105" s="180"/>
      <c r="K105" s="180"/>
    </row>
    <row r="106" spans="9:11" x14ac:dyDescent="0.25">
      <c r="I106" s="180"/>
      <c r="J106" s="180"/>
      <c r="K106" s="180"/>
    </row>
    <row r="107" spans="9:11" x14ac:dyDescent="0.25">
      <c r="I107" s="180"/>
      <c r="J107" s="180"/>
      <c r="K107" s="180"/>
    </row>
    <row r="108" spans="9:11" x14ac:dyDescent="0.25">
      <c r="I108" s="180"/>
      <c r="J108" s="180"/>
      <c r="K108" s="180"/>
    </row>
    <row r="109" spans="9:11" x14ac:dyDescent="0.25">
      <c r="I109" s="180"/>
      <c r="J109" s="180"/>
      <c r="K109" s="180"/>
    </row>
    <row r="110" spans="9:11" x14ac:dyDescent="0.25">
      <c r="I110" s="180"/>
      <c r="J110" s="180"/>
      <c r="K110" s="180"/>
    </row>
    <row r="111" spans="9:11" x14ac:dyDescent="0.25">
      <c r="I111" s="180"/>
      <c r="J111" s="180"/>
      <c r="K111" s="180"/>
    </row>
    <row r="112" spans="9:11" x14ac:dyDescent="0.25">
      <c r="I112" s="180"/>
      <c r="J112" s="180"/>
      <c r="K112" s="180"/>
    </row>
    <row r="113" spans="9:11" x14ac:dyDescent="0.25">
      <c r="I113" s="180"/>
      <c r="J113" s="180"/>
      <c r="K113" s="180"/>
    </row>
    <row r="114" spans="9:11" x14ac:dyDescent="0.25">
      <c r="I114" s="180"/>
      <c r="J114" s="180"/>
      <c r="K114" s="180"/>
    </row>
    <row r="115" spans="9:11" x14ac:dyDescent="0.25">
      <c r="I115" s="180"/>
      <c r="J115" s="180"/>
      <c r="K115" s="180"/>
    </row>
    <row r="116" spans="9:11" x14ac:dyDescent="0.25">
      <c r="I116" s="180"/>
      <c r="J116" s="180"/>
      <c r="K116" s="180"/>
    </row>
    <row r="117" spans="9:11" x14ac:dyDescent="0.25">
      <c r="I117" s="180"/>
      <c r="J117" s="180"/>
      <c r="K117" s="180"/>
    </row>
    <row r="118" spans="9:11" x14ac:dyDescent="0.25">
      <c r="I118" s="180"/>
      <c r="J118" s="180"/>
      <c r="K118" s="180"/>
    </row>
    <row r="119" spans="9:11" x14ac:dyDescent="0.25">
      <c r="I119" s="180"/>
      <c r="J119" s="180"/>
      <c r="K119" s="180"/>
    </row>
    <row r="120" spans="9:11" x14ac:dyDescent="0.25">
      <c r="I120" s="180"/>
      <c r="J120" s="180"/>
      <c r="K120" s="180"/>
    </row>
    <row r="121" spans="9:11" x14ac:dyDescent="0.25">
      <c r="I121" s="180"/>
      <c r="J121" s="180"/>
      <c r="K121" s="180"/>
    </row>
    <row r="122" spans="9:11" x14ac:dyDescent="0.25">
      <c r="I122" s="180"/>
      <c r="J122" s="180"/>
      <c r="K122" s="180"/>
    </row>
    <row r="123" spans="9:11" x14ac:dyDescent="0.25">
      <c r="I123" s="180"/>
      <c r="J123" s="180"/>
      <c r="K123" s="180"/>
    </row>
    <row r="124" spans="9:11" x14ac:dyDescent="0.25">
      <c r="I124" s="180"/>
      <c r="J124" s="180"/>
      <c r="K124" s="180"/>
    </row>
    <row r="125" spans="9:11" x14ac:dyDescent="0.25">
      <c r="I125" s="180"/>
      <c r="J125" s="180"/>
      <c r="K125" s="180"/>
    </row>
    <row r="126" spans="9:11" x14ac:dyDescent="0.25">
      <c r="I126" s="180"/>
      <c r="J126" s="180"/>
      <c r="K126" s="180"/>
    </row>
    <row r="127" spans="9:11" x14ac:dyDescent="0.25">
      <c r="I127" s="180"/>
      <c r="J127" s="180"/>
      <c r="K127" s="180"/>
    </row>
    <row r="128" spans="9:11" x14ac:dyDescent="0.25">
      <c r="I128" s="180"/>
      <c r="J128" s="180"/>
      <c r="K128" s="180"/>
    </row>
    <row r="129" spans="9:11" x14ac:dyDescent="0.25">
      <c r="I129" s="180"/>
      <c r="J129" s="180"/>
      <c r="K129" s="180"/>
    </row>
    <row r="130" spans="9:11" x14ac:dyDescent="0.25">
      <c r="I130" s="180"/>
      <c r="J130" s="180"/>
      <c r="K130" s="180"/>
    </row>
    <row r="131" spans="9:11" x14ac:dyDescent="0.25">
      <c r="I131" s="180"/>
      <c r="J131" s="180"/>
      <c r="K131" s="180"/>
    </row>
    <row r="132" spans="9:11" x14ac:dyDescent="0.25">
      <c r="I132" s="180"/>
      <c r="J132" s="180"/>
      <c r="K132" s="180"/>
    </row>
    <row r="133" spans="9:11" x14ac:dyDescent="0.25">
      <c r="I133" s="180"/>
      <c r="J133" s="180"/>
      <c r="K133" s="180"/>
    </row>
    <row r="134" spans="9:11" x14ac:dyDescent="0.25">
      <c r="I134" s="180"/>
      <c r="J134" s="180"/>
      <c r="K134" s="180"/>
    </row>
    <row r="135" spans="9:11" x14ac:dyDescent="0.25">
      <c r="I135" s="180"/>
      <c r="J135" s="180"/>
      <c r="K135" s="180"/>
    </row>
    <row r="136" spans="9:11" x14ac:dyDescent="0.25">
      <c r="I136" s="180"/>
      <c r="J136" s="180"/>
      <c r="K136" s="180"/>
    </row>
    <row r="137" spans="9:11" x14ac:dyDescent="0.25">
      <c r="I137" s="180"/>
      <c r="J137" s="180"/>
      <c r="K137" s="180"/>
    </row>
    <row r="138" spans="9:11" x14ac:dyDescent="0.25">
      <c r="I138" s="180"/>
      <c r="J138" s="180"/>
      <c r="K138" s="180"/>
    </row>
  </sheetData>
  <mergeCells count="1">
    <mergeCell ref="C3:F3"/>
  </mergeCells>
  <pageMargins left="0.5" right="0.5" top="0.75" bottom="0.5" header="0.5" footer="0.5"/>
  <pageSetup scale="72" orientation="landscape" r:id="rId1"/>
  <headerFooter alignWithMargins="0">
    <oddFooter>&amp;L&amp;9Budget Office_&amp;F/&amp;A_Updated 7/20/2015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4"/>
  <sheetViews>
    <sheetView zoomScaleNormal="100" workbookViewId="0">
      <selection activeCell="B3" sqref="B3:E3"/>
    </sheetView>
  </sheetViews>
  <sheetFormatPr defaultColWidth="8.85546875" defaultRowHeight="15" x14ac:dyDescent="0.2"/>
  <cols>
    <col min="1" max="1" width="26" style="1" customWidth="1"/>
    <col min="2" max="2" width="21" style="1" customWidth="1"/>
    <col min="3" max="8" width="11.42578125" customWidth="1"/>
    <col min="9" max="9" width="10.5703125" customWidth="1"/>
    <col min="11" max="11" width="10.140625" customWidth="1"/>
    <col min="13" max="13" width="11.140625" customWidth="1"/>
    <col min="14" max="14" width="11" customWidth="1"/>
    <col min="17" max="17" width="8.85546875" style="137"/>
  </cols>
  <sheetData>
    <row r="1" spans="1:22" ht="15.75" x14ac:dyDescent="0.25">
      <c r="A1" s="87" t="s">
        <v>151</v>
      </c>
    </row>
    <row r="2" spans="1:22" ht="15.75" x14ac:dyDescent="0.25">
      <c r="A2" s="84"/>
    </row>
    <row r="3" spans="1:22" ht="15.75" x14ac:dyDescent="0.25">
      <c r="A3" s="16" t="s">
        <v>184</v>
      </c>
      <c r="B3" s="232" t="str">
        <f>IF('Per Unit Rate Calculations'!B3:E3="","",'Per Unit Rate Calculations'!B3:E3)</f>
        <v>Peter's Test Lab</v>
      </c>
      <c r="C3" s="232"/>
      <c r="D3" s="232"/>
      <c r="E3" s="232"/>
      <c r="F3" s="18"/>
      <c r="G3" s="18"/>
      <c r="H3" s="18"/>
    </row>
    <row r="4" spans="1:22" ht="15.75" x14ac:dyDescent="0.25">
      <c r="A4" s="16" t="s">
        <v>178</v>
      </c>
      <c r="B4" s="159" t="str">
        <f>IF('Per Unit Rate Calculations'!B4="","",'Per Unit Rate Calculations'!B4)</f>
        <v>20xx-xx</v>
      </c>
      <c r="C4" s="18"/>
      <c r="D4" s="18"/>
      <c r="E4" s="18"/>
      <c r="F4" s="18"/>
      <c r="G4" s="18"/>
      <c r="H4" s="18"/>
      <c r="Q4" s="136" t="s">
        <v>164</v>
      </c>
      <c r="S4" s="143"/>
      <c r="T4" s="85" t="s">
        <v>170</v>
      </c>
      <c r="U4" s="144"/>
      <c r="V4" s="144"/>
    </row>
    <row r="5" spans="1:22" ht="15.75" x14ac:dyDescent="0.25">
      <c r="B5" s="129" t="s">
        <v>167</v>
      </c>
      <c r="C5" s="230" t="s">
        <v>199</v>
      </c>
      <c r="D5" s="230"/>
      <c r="E5" s="230"/>
      <c r="F5" s="18"/>
      <c r="G5" s="18"/>
      <c r="H5" s="18"/>
      <c r="Q5" s="87" t="s">
        <v>78</v>
      </c>
    </row>
    <row r="6" spans="1:22" ht="16.5" thickBot="1" x14ac:dyDescent="0.3">
      <c r="A6" s="19"/>
      <c r="B6" s="131" t="s">
        <v>160</v>
      </c>
      <c r="C6" s="130">
        <v>0.29799999999999999</v>
      </c>
      <c r="D6" s="19"/>
      <c r="E6" s="19"/>
      <c r="F6" s="19"/>
      <c r="G6" s="19"/>
      <c r="H6" s="19"/>
      <c r="I6" s="19"/>
      <c r="J6" s="19"/>
      <c r="K6" s="19"/>
      <c r="L6" s="19"/>
      <c r="M6" s="19"/>
      <c r="N6" s="19"/>
      <c r="Q6" s="138"/>
    </row>
    <row r="7" spans="1:22" ht="15.75" x14ac:dyDescent="0.25">
      <c r="A7" s="20" t="s">
        <v>1</v>
      </c>
      <c r="B7" s="20"/>
      <c r="C7" s="18"/>
      <c r="D7" s="18"/>
      <c r="E7" s="18"/>
      <c r="F7" s="18"/>
      <c r="G7" s="18"/>
      <c r="H7" s="18"/>
      <c r="I7" s="18"/>
      <c r="J7" s="18"/>
      <c r="K7" s="18"/>
      <c r="L7" s="18"/>
      <c r="M7" s="18"/>
      <c r="N7" s="18"/>
      <c r="Q7" s="85" t="s">
        <v>177</v>
      </c>
    </row>
    <row r="8" spans="1:22" ht="47.25" x14ac:dyDescent="0.25">
      <c r="A8" s="21" t="s">
        <v>2</v>
      </c>
      <c r="B8" s="21" t="s">
        <v>25</v>
      </c>
      <c r="C8" s="22" t="s">
        <v>3</v>
      </c>
      <c r="D8" s="22" t="s">
        <v>4</v>
      </c>
      <c r="E8" s="22" t="s">
        <v>5</v>
      </c>
      <c r="F8" s="22" t="s">
        <v>6</v>
      </c>
      <c r="G8" s="22" t="s">
        <v>7</v>
      </c>
      <c r="H8" s="22" t="s">
        <v>8</v>
      </c>
      <c r="I8" s="47" t="s">
        <v>47</v>
      </c>
      <c r="J8" s="47" t="s">
        <v>48</v>
      </c>
      <c r="K8" s="47" t="s">
        <v>49</v>
      </c>
      <c r="L8" s="47" t="s">
        <v>50</v>
      </c>
      <c r="M8" s="47" t="s">
        <v>52</v>
      </c>
      <c r="N8" s="47" t="s">
        <v>51</v>
      </c>
    </row>
    <row r="9" spans="1:22" ht="15.75" x14ac:dyDescent="0.25">
      <c r="A9" s="23"/>
      <c r="B9" s="23"/>
      <c r="C9" s="23" t="s">
        <v>9</v>
      </c>
      <c r="D9" s="23" t="s">
        <v>10</v>
      </c>
      <c r="E9" s="23" t="s">
        <v>11</v>
      </c>
      <c r="F9" s="23" t="s">
        <v>12</v>
      </c>
      <c r="G9" s="23" t="s">
        <v>13</v>
      </c>
      <c r="H9" s="23" t="s">
        <v>14</v>
      </c>
      <c r="I9" s="5"/>
      <c r="J9" s="5"/>
      <c r="K9" s="5"/>
      <c r="L9" s="5"/>
      <c r="M9" s="5"/>
      <c r="N9" s="5"/>
      <c r="Q9" s="85" t="s">
        <v>80</v>
      </c>
    </row>
    <row r="10" spans="1:22" ht="15.75" x14ac:dyDescent="0.25">
      <c r="A10" s="24"/>
      <c r="B10" s="24"/>
      <c r="C10" s="24"/>
      <c r="D10" s="24"/>
      <c r="E10" s="24" t="s">
        <v>15</v>
      </c>
      <c r="F10" s="24"/>
      <c r="G10" s="24" t="s">
        <v>16</v>
      </c>
      <c r="H10" s="24" t="s">
        <v>17</v>
      </c>
      <c r="I10" s="78"/>
      <c r="J10" s="78"/>
      <c r="K10" s="78"/>
      <c r="L10" s="78"/>
      <c r="M10" s="78"/>
      <c r="N10" s="78"/>
      <c r="Q10" s="85" t="s">
        <v>81</v>
      </c>
    </row>
    <row r="11" spans="1:22" ht="15.75" x14ac:dyDescent="0.25">
      <c r="A11" s="79" t="str">
        <f>'Per Unit Rate Calculations'!A11</f>
        <v>Name</v>
      </c>
      <c r="B11" s="79" t="str">
        <f>'Per Unit Rate Calculations'!B11</f>
        <v>Title (e.g. Director)</v>
      </c>
      <c r="C11" s="146">
        <v>0.05</v>
      </c>
      <c r="D11" s="147">
        <v>85000</v>
      </c>
      <c r="E11" s="116">
        <f>C11*D11</f>
        <v>4250</v>
      </c>
      <c r="F11" s="153">
        <v>0.22</v>
      </c>
      <c r="G11" s="116">
        <f>E11*F11</f>
        <v>935</v>
      </c>
      <c r="H11" s="116">
        <f>E11+G11</f>
        <v>5185</v>
      </c>
      <c r="I11" s="80">
        <f>2088*C11</f>
        <v>104.4</v>
      </c>
      <c r="J11" s="80">
        <f>104*C11</f>
        <v>5.2</v>
      </c>
      <c r="K11" s="80">
        <f>192*C11</f>
        <v>9.6000000000000014</v>
      </c>
      <c r="L11" s="80">
        <f>96*C11</f>
        <v>4.8000000000000007</v>
      </c>
      <c r="M11" s="80">
        <f t="shared" ref="M11:M12" si="0">0.1*I11</f>
        <v>10.440000000000001</v>
      </c>
      <c r="N11" s="80">
        <f t="shared" ref="N11:N12" si="1">I11-J11-K11-L11-M11</f>
        <v>74.36</v>
      </c>
      <c r="Q11" s="85" t="s">
        <v>82</v>
      </c>
    </row>
    <row r="12" spans="1:22" ht="15.75" x14ac:dyDescent="0.25">
      <c r="A12" s="79" t="str">
        <f>'Per Unit Rate Calculations'!A12</f>
        <v>Name</v>
      </c>
      <c r="B12" s="79" t="str">
        <f>'Per Unit Rate Calculations'!B12</f>
        <v>Title (e.g. SRA)</v>
      </c>
      <c r="C12" s="149">
        <v>0</v>
      </c>
      <c r="D12" s="150">
        <v>75000</v>
      </c>
      <c r="E12" s="117">
        <f>C12*D12</f>
        <v>0</v>
      </c>
      <c r="F12" s="154">
        <v>0.19</v>
      </c>
      <c r="G12" s="117">
        <f>E12*F12</f>
        <v>0</v>
      </c>
      <c r="H12" s="117">
        <f>E12+G12</f>
        <v>0</v>
      </c>
      <c r="I12" s="126">
        <f>2088*C12</f>
        <v>0</v>
      </c>
      <c r="J12" s="126">
        <f>104*C12</f>
        <v>0</v>
      </c>
      <c r="K12" s="126">
        <f>192*C12</f>
        <v>0</v>
      </c>
      <c r="L12" s="126">
        <f>96*C12</f>
        <v>0</v>
      </c>
      <c r="M12" s="80">
        <f t="shared" si="0"/>
        <v>0</v>
      </c>
      <c r="N12" s="80">
        <f t="shared" si="1"/>
        <v>0</v>
      </c>
      <c r="Q12" s="86" t="s">
        <v>83</v>
      </c>
    </row>
    <row r="13" spans="1:22" ht="15.75" x14ac:dyDescent="0.25">
      <c r="A13" s="79" t="str">
        <f>'Per Unit Rate Calculations'!A13</f>
        <v>Name</v>
      </c>
      <c r="B13" s="79" t="str">
        <f>'Per Unit Rate Calculations'!B13</f>
        <v>Title (e.g. Stdnt Asst*)</v>
      </c>
      <c r="C13" s="146">
        <v>0.5</v>
      </c>
      <c r="D13" s="147">
        <v>50000</v>
      </c>
      <c r="E13" s="116">
        <f>C13*D13</f>
        <v>25000</v>
      </c>
      <c r="F13" s="153">
        <v>0.23</v>
      </c>
      <c r="G13" s="116">
        <f>E13*F13</f>
        <v>5750</v>
      </c>
      <c r="H13" s="116">
        <f>E13+G13</f>
        <v>30750</v>
      </c>
      <c r="I13" s="80">
        <f>2088*C13</f>
        <v>1044</v>
      </c>
      <c r="J13" s="80">
        <f>104*C13</f>
        <v>52</v>
      </c>
      <c r="K13" s="80">
        <f>120*C13</f>
        <v>60</v>
      </c>
      <c r="L13" s="80">
        <f>96*C13</f>
        <v>48</v>
      </c>
      <c r="M13" s="80">
        <f>0.1*I13</f>
        <v>104.4</v>
      </c>
      <c r="N13" s="80">
        <f>I13-J13-K13-L13-M13</f>
        <v>779.6</v>
      </c>
      <c r="Q13" s="87" t="s">
        <v>84</v>
      </c>
    </row>
    <row r="14" spans="1:22" ht="15.75" x14ac:dyDescent="0.25">
      <c r="A14" s="79" t="str">
        <f>'Per Unit Rate Calculations'!A14</f>
        <v>Name</v>
      </c>
      <c r="B14" s="79">
        <f>'Per Unit Rate Calculations'!B14</f>
        <v>0</v>
      </c>
      <c r="C14" s="146">
        <v>0.5</v>
      </c>
      <c r="D14" s="152">
        <v>50000</v>
      </c>
      <c r="E14" s="116">
        <f>C14*D14</f>
        <v>25000</v>
      </c>
      <c r="F14" s="153">
        <v>0.25</v>
      </c>
      <c r="G14" s="116">
        <f>E14*F14</f>
        <v>6250</v>
      </c>
      <c r="H14" s="116">
        <f>E14+G14</f>
        <v>31250</v>
      </c>
      <c r="I14" s="80">
        <f>2088*C14</f>
        <v>1044</v>
      </c>
      <c r="J14" s="80">
        <f>104*C14</f>
        <v>52</v>
      </c>
      <c r="K14" s="80">
        <f>120*C14</f>
        <v>60</v>
      </c>
      <c r="L14" s="80">
        <f>96*C14</f>
        <v>48</v>
      </c>
      <c r="M14" s="80">
        <f>0.1*I14</f>
        <v>104.4</v>
      </c>
      <c r="N14" s="80">
        <f>I14-J14-K14-L14-M14</f>
        <v>779.6</v>
      </c>
      <c r="Q14" s="87" t="s">
        <v>85</v>
      </c>
    </row>
    <row r="15" spans="1:22" ht="15.75" x14ac:dyDescent="0.25">
      <c r="A15" s="26" t="s">
        <v>18</v>
      </c>
      <c r="B15" s="26"/>
      <c r="C15" s="27">
        <f>SUM(C11:C14)</f>
        <v>1.05</v>
      </c>
      <c r="D15" s="116"/>
      <c r="E15" s="116">
        <f>SUM(E11:E11)</f>
        <v>4250</v>
      </c>
      <c r="F15" s="28"/>
      <c r="G15" s="116">
        <f>SUM(G11:G11)</f>
        <v>935</v>
      </c>
      <c r="H15" s="116">
        <f>SUM(H11:H14)</f>
        <v>67185</v>
      </c>
      <c r="I15" s="80"/>
      <c r="J15" s="80"/>
      <c r="K15" s="80"/>
      <c r="L15" s="80"/>
      <c r="M15" s="80"/>
      <c r="N15" s="80">
        <f>SUM(N11:N14)</f>
        <v>1633.56</v>
      </c>
      <c r="Q15" s="87" t="s">
        <v>86</v>
      </c>
    </row>
    <row r="16" spans="1:22" ht="15.75" x14ac:dyDescent="0.25">
      <c r="A16" s="17"/>
      <c r="B16" s="17"/>
      <c r="C16" s="29"/>
      <c r="D16" s="30"/>
      <c r="E16" s="30"/>
      <c r="F16" s="30"/>
      <c r="G16" s="30"/>
      <c r="H16" s="30"/>
      <c r="Q16" s="85" t="s">
        <v>87</v>
      </c>
    </row>
    <row r="17" spans="1:17" ht="15.75" x14ac:dyDescent="0.25">
      <c r="A17" s="17" t="str">
        <f>'Per Unit Rate Calculations'!A17</f>
        <v>Office Supplies</v>
      </c>
      <c r="B17" s="17"/>
      <c r="C17" s="18"/>
      <c r="D17" s="18"/>
      <c r="E17" s="18"/>
      <c r="F17" s="18"/>
      <c r="G17" s="18"/>
      <c r="H17" s="155">
        <f>500*C15</f>
        <v>525</v>
      </c>
      <c r="Q17" s="85" t="s">
        <v>88</v>
      </c>
    </row>
    <row r="18" spans="1:17" ht="15.75" x14ac:dyDescent="0.25">
      <c r="A18" s="17" t="str">
        <f>'Per Unit Rate Calculations'!A18</f>
        <v>Lab Supplies</v>
      </c>
      <c r="B18" s="17"/>
      <c r="C18" s="18"/>
      <c r="D18" s="18"/>
      <c r="E18" s="18"/>
      <c r="F18" s="18"/>
      <c r="G18" s="18"/>
      <c r="H18" s="155">
        <v>0</v>
      </c>
      <c r="Q18" s="85" t="s">
        <v>89</v>
      </c>
    </row>
    <row r="19" spans="1:17" ht="15.75" x14ac:dyDescent="0.25">
      <c r="A19" s="17"/>
      <c r="B19" s="17"/>
      <c r="C19" s="18"/>
      <c r="D19" s="18"/>
      <c r="E19" s="18"/>
      <c r="F19" s="18"/>
      <c r="G19" s="18"/>
      <c r="H19" s="155"/>
      <c r="Q19" s="85" t="s">
        <v>90</v>
      </c>
    </row>
    <row r="20" spans="1:17" ht="15.75" x14ac:dyDescent="0.25">
      <c r="A20" s="17"/>
      <c r="B20" s="17"/>
      <c r="C20" s="18"/>
      <c r="D20" s="18"/>
      <c r="E20" s="18"/>
      <c r="F20" s="18"/>
      <c r="G20" s="18"/>
      <c r="H20" s="118"/>
      <c r="Q20" s="85" t="s">
        <v>91</v>
      </c>
    </row>
    <row r="21" spans="1:17" ht="15.75" x14ac:dyDescent="0.25">
      <c r="A21" s="26" t="s">
        <v>19</v>
      </c>
      <c r="B21" s="26"/>
      <c r="C21" s="26"/>
      <c r="D21" s="26"/>
      <c r="E21" s="26"/>
      <c r="F21" s="26"/>
      <c r="G21" s="26"/>
      <c r="H21" s="119">
        <f>SUM(H17:H20)</f>
        <v>525</v>
      </c>
      <c r="Q21" s="87" t="s">
        <v>92</v>
      </c>
    </row>
    <row r="22" spans="1:17" ht="15.75" x14ac:dyDescent="0.25">
      <c r="A22" s="17"/>
      <c r="B22" s="17"/>
      <c r="C22" s="17"/>
      <c r="D22" s="17"/>
      <c r="E22" s="17"/>
      <c r="F22" s="17"/>
      <c r="G22" s="17"/>
      <c r="H22" s="120"/>
      <c r="Q22" s="87" t="s">
        <v>93</v>
      </c>
    </row>
    <row r="23" spans="1:17" ht="15.75" x14ac:dyDescent="0.25">
      <c r="A23" s="26" t="s">
        <v>37</v>
      </c>
      <c r="B23" s="26"/>
      <c r="C23" s="26"/>
      <c r="D23" s="26"/>
      <c r="E23" s="26"/>
      <c r="F23" s="26"/>
      <c r="G23" s="26"/>
      <c r="H23" s="156">
        <v>750</v>
      </c>
      <c r="Q23" s="85" t="s">
        <v>94</v>
      </c>
    </row>
    <row r="24" spans="1:17" ht="15.75" x14ac:dyDescent="0.25">
      <c r="A24" s="17"/>
      <c r="B24" s="17"/>
      <c r="C24" s="17"/>
      <c r="D24" s="17"/>
      <c r="E24" s="17"/>
      <c r="F24" s="17"/>
      <c r="G24" s="17"/>
      <c r="H24" s="120"/>
      <c r="Q24" s="85" t="s">
        <v>95</v>
      </c>
    </row>
    <row r="25" spans="1:17" ht="16.5" thickBot="1" x14ac:dyDescent="0.3">
      <c r="A25" s="31" t="s">
        <v>20</v>
      </c>
      <c r="B25" s="31"/>
      <c r="C25" s="31"/>
      <c r="D25" s="31"/>
      <c r="E25" s="31"/>
      <c r="F25" s="31"/>
      <c r="G25" s="31"/>
      <c r="H25" s="121">
        <f>SUM(H15,H21,H23)</f>
        <v>68460</v>
      </c>
      <c r="Q25" s="85" t="s">
        <v>118</v>
      </c>
    </row>
    <row r="26" spans="1:17" ht="16.5" thickTop="1" x14ac:dyDescent="0.25">
      <c r="A26" s="17"/>
      <c r="B26" s="221"/>
      <c r="C26" s="17"/>
      <c r="D26" s="17"/>
      <c r="E26" s="17"/>
      <c r="F26" s="17"/>
      <c r="G26" s="17"/>
      <c r="H26" s="220"/>
      <c r="Q26" s="85"/>
    </row>
    <row r="27" spans="1:17" ht="15.75" x14ac:dyDescent="0.25">
      <c r="A27" s="17" t="s">
        <v>195</v>
      </c>
      <c r="B27" s="219" t="s">
        <v>196</v>
      </c>
      <c r="C27" s="18"/>
      <c r="D27" s="18"/>
      <c r="E27" s="18"/>
      <c r="F27" s="18"/>
      <c r="G27" s="18"/>
      <c r="H27" s="217">
        <v>8000</v>
      </c>
      <c r="K27" s="90"/>
      <c r="Q27"/>
    </row>
    <row r="28" spans="1:17" ht="15.75" x14ac:dyDescent="0.25">
      <c r="A28" s="17"/>
      <c r="B28" s="17"/>
      <c r="C28" s="18"/>
      <c r="D28" s="18"/>
      <c r="E28" s="18"/>
      <c r="F28" s="18"/>
      <c r="G28" s="18"/>
      <c r="H28" s="122"/>
      <c r="K28" s="90"/>
      <c r="Q28"/>
    </row>
    <row r="29" spans="1:17" ht="16.5" thickBot="1" x14ac:dyDescent="0.3">
      <c r="A29" s="31" t="s">
        <v>194</v>
      </c>
      <c r="B29" s="31"/>
      <c r="C29" s="31"/>
      <c r="D29" s="31"/>
      <c r="E29" s="31"/>
      <c r="F29" s="31"/>
      <c r="G29" s="31"/>
      <c r="H29" s="121">
        <f>H25-H27</f>
        <v>60460</v>
      </c>
      <c r="K29" s="90"/>
      <c r="Q29"/>
    </row>
    <row r="30" spans="1:17" ht="16.5" thickTop="1" x14ac:dyDescent="0.25">
      <c r="A30" s="17"/>
      <c r="B30" s="17"/>
      <c r="C30" s="18"/>
      <c r="D30" s="18"/>
      <c r="E30" s="18"/>
      <c r="F30" s="18"/>
      <c r="G30" s="18"/>
      <c r="H30" s="122"/>
      <c r="K30" s="90"/>
      <c r="Q30"/>
    </row>
    <row r="31" spans="1:17" ht="15.75" x14ac:dyDescent="0.25">
      <c r="A31" s="17"/>
      <c r="B31" s="17"/>
      <c r="C31" s="18"/>
      <c r="D31" s="18"/>
      <c r="E31" s="18"/>
      <c r="F31" s="18"/>
      <c r="G31" s="18"/>
      <c r="H31" s="122"/>
      <c r="Q31" s="85" t="s">
        <v>96</v>
      </c>
    </row>
    <row r="32" spans="1:17" ht="15.75" x14ac:dyDescent="0.25">
      <c r="A32" s="17" t="s">
        <v>53</v>
      </c>
      <c r="B32" s="17"/>
      <c r="C32" s="18"/>
      <c r="D32" s="18"/>
      <c r="E32" s="18"/>
      <c r="F32" s="18"/>
      <c r="G32" s="18"/>
      <c r="H32" s="125">
        <f>N15</f>
        <v>1633.56</v>
      </c>
      <c r="Q32" s="86" t="s">
        <v>97</v>
      </c>
    </row>
    <row r="33" spans="1:17" ht="15.75" x14ac:dyDescent="0.25">
      <c r="A33" s="17"/>
      <c r="B33" s="17"/>
      <c r="C33" s="17"/>
      <c r="D33" s="17"/>
      <c r="E33" s="17"/>
      <c r="F33" s="17"/>
      <c r="G33" s="17"/>
      <c r="H33" s="123"/>
      <c r="Q33" s="87" t="s">
        <v>98</v>
      </c>
    </row>
    <row r="34" spans="1:17" ht="16.5" thickBot="1" x14ac:dyDescent="0.3">
      <c r="A34" s="32" t="s">
        <v>185</v>
      </c>
      <c r="B34" s="32"/>
      <c r="C34" s="33"/>
      <c r="D34" s="33"/>
      <c r="E34" s="33"/>
      <c r="F34" s="33"/>
      <c r="G34" s="33"/>
      <c r="H34" s="218">
        <f>H29/H32</f>
        <v>37.011190283797355</v>
      </c>
      <c r="I34" s="8"/>
      <c r="J34" s="8"/>
      <c r="K34" s="8"/>
      <c r="L34" s="8"/>
      <c r="M34" s="8"/>
      <c r="N34" s="8"/>
      <c r="Q34" s="25" t="s">
        <v>99</v>
      </c>
    </row>
    <row r="35" spans="1:17" ht="15.75" x14ac:dyDescent="0.25">
      <c r="A35" s="16" t="s">
        <v>161</v>
      </c>
      <c r="B35" s="17"/>
      <c r="C35" s="18"/>
      <c r="D35" s="18"/>
      <c r="E35" s="18"/>
      <c r="F35" s="18"/>
      <c r="G35" s="18"/>
      <c r="H35" s="149">
        <v>0.9</v>
      </c>
      <c r="I35" s="8"/>
      <c r="J35" s="8"/>
      <c r="K35" s="8"/>
      <c r="L35" s="8"/>
      <c r="M35" s="8"/>
      <c r="N35" s="8"/>
      <c r="Q35" s="87" t="s">
        <v>100</v>
      </c>
    </row>
    <row r="36" spans="1:17" ht="16.5" thickBot="1" x14ac:dyDescent="0.3">
      <c r="A36" s="32" t="s">
        <v>197</v>
      </c>
      <c r="B36" s="32"/>
      <c r="C36" s="32"/>
      <c r="D36" s="32"/>
      <c r="E36" s="32"/>
      <c r="F36" s="32"/>
      <c r="G36" s="32"/>
      <c r="H36" s="124">
        <f>(H25/H32)*(1+C6)</f>
        <v>54.397193858811427</v>
      </c>
      <c r="I36" s="8"/>
      <c r="J36" s="8"/>
      <c r="K36" s="8"/>
      <c r="L36" s="8"/>
      <c r="M36" s="8"/>
      <c r="N36" s="8"/>
      <c r="Q36" s="87" t="s">
        <v>101</v>
      </c>
    </row>
    <row r="37" spans="1:17" ht="15.75" x14ac:dyDescent="0.25">
      <c r="A37" s="65" t="s">
        <v>162</v>
      </c>
      <c r="H37" s="149">
        <f>1-H35</f>
        <v>9.9999999999999978E-2</v>
      </c>
      <c r="Q37" s="25" t="s">
        <v>157</v>
      </c>
    </row>
    <row r="38" spans="1:17" ht="15.75" x14ac:dyDescent="0.25">
      <c r="Q38" s="88" t="s">
        <v>102</v>
      </c>
    </row>
    <row r="39" spans="1:17" ht="15.75" x14ac:dyDescent="0.25">
      <c r="Q39" s="88" t="s">
        <v>103</v>
      </c>
    </row>
    <row r="40" spans="1:17" ht="15.75" x14ac:dyDescent="0.25">
      <c r="Q40" s="88" t="s">
        <v>104</v>
      </c>
    </row>
    <row r="41" spans="1:17" ht="15.75" x14ac:dyDescent="0.25">
      <c r="Q41" s="88" t="s">
        <v>105</v>
      </c>
    </row>
    <row r="42" spans="1:17" ht="15.75" x14ac:dyDescent="0.25">
      <c r="Q42" s="88" t="s">
        <v>106</v>
      </c>
    </row>
    <row r="43" spans="1:17" ht="15.75" x14ac:dyDescent="0.25">
      <c r="Q43" s="88" t="s">
        <v>107</v>
      </c>
    </row>
    <row r="44" spans="1:17" ht="15.75" x14ac:dyDescent="0.25">
      <c r="Q44" s="127" t="s">
        <v>149</v>
      </c>
    </row>
    <row r="45" spans="1:17" ht="15.75" x14ac:dyDescent="0.25">
      <c r="Q45" s="88" t="s">
        <v>108</v>
      </c>
    </row>
    <row r="47" spans="1:17" ht="15.75" x14ac:dyDescent="0.25">
      <c r="Q47" s="90" t="s">
        <v>176</v>
      </c>
    </row>
    <row r="50" spans="1:17" s="5" customFormat="1" x14ac:dyDescent="0.2">
      <c r="A50" s="1"/>
      <c r="B50" s="1"/>
      <c r="C50"/>
      <c r="D50"/>
      <c r="E50"/>
      <c r="F50"/>
      <c r="G50"/>
      <c r="H50"/>
      <c r="I50"/>
      <c r="J50"/>
      <c r="K50"/>
      <c r="L50"/>
      <c r="M50"/>
      <c r="N50"/>
      <c r="Q50" s="137"/>
    </row>
    <row r="51" spans="1:17" s="5" customFormat="1" x14ac:dyDescent="0.2">
      <c r="A51" s="1"/>
      <c r="B51" s="1"/>
      <c r="C51"/>
      <c r="D51"/>
      <c r="E51"/>
      <c r="F51"/>
      <c r="G51"/>
      <c r="H51"/>
      <c r="I51"/>
      <c r="J51"/>
      <c r="K51"/>
      <c r="L51"/>
      <c r="M51"/>
      <c r="N51"/>
      <c r="Q51" s="137"/>
    </row>
    <row r="52" spans="1:17" s="5" customFormat="1" x14ac:dyDescent="0.2">
      <c r="A52" s="1"/>
      <c r="B52" s="1"/>
      <c r="C52"/>
      <c r="D52"/>
      <c r="E52"/>
      <c r="F52"/>
      <c r="G52"/>
      <c r="H52"/>
      <c r="I52"/>
      <c r="J52"/>
      <c r="K52"/>
      <c r="L52"/>
      <c r="M52"/>
      <c r="N52"/>
      <c r="Q52" s="139"/>
    </row>
    <row r="53" spans="1:17" x14ac:dyDescent="0.2">
      <c r="Q53" s="139"/>
    </row>
    <row r="54" spans="1:17" x14ac:dyDescent="0.2">
      <c r="Q54" s="139"/>
    </row>
  </sheetData>
  <mergeCells count="2">
    <mergeCell ref="B3:E3"/>
    <mergeCell ref="C5:E5"/>
  </mergeCells>
  <pageMargins left="0.75" right="0.75" top="0.5" bottom="0.25" header="0.5" footer="0.5"/>
  <pageSetup scale="70" orientation="landscape" r:id="rId1"/>
  <headerFooter alignWithMargins="0">
    <oddFooter>&amp;L&amp;9Budget Office_&amp;F/&amp;A_Updated 7/20/2015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34"/>
  <sheetViews>
    <sheetView zoomScaleNormal="100" workbookViewId="0">
      <selection activeCell="B14" sqref="B14"/>
    </sheetView>
  </sheetViews>
  <sheetFormatPr defaultRowHeight="12.75" x14ac:dyDescent="0.2"/>
  <cols>
    <col min="1" max="1" width="33.42578125" customWidth="1"/>
    <col min="2" max="2" width="11.42578125" bestFit="1" customWidth="1"/>
    <col min="3" max="3" width="6.5703125" bestFit="1" customWidth="1"/>
    <col min="4" max="4" width="10.28515625" bestFit="1" customWidth="1"/>
    <col min="8" max="8" width="11.28515625" bestFit="1" customWidth="1"/>
  </cols>
  <sheetData>
    <row r="2" spans="1:22" ht="15.75" x14ac:dyDescent="0.25">
      <c r="A2" s="16" t="s">
        <v>184</v>
      </c>
      <c r="B2" s="232" t="str">
        <f>IF('Per Unit Rate Calculations'!B2:E2="","",'Per Unit Rate Calculations'!B2:E2)</f>
        <v/>
      </c>
      <c r="C2" s="232"/>
      <c r="D2" s="232"/>
      <c r="E2" s="232"/>
      <c r="F2" s="18"/>
      <c r="G2" s="18"/>
      <c r="H2" s="18"/>
      <c r="Q2" s="137"/>
    </row>
    <row r="3" spans="1:22" ht="15.75" x14ac:dyDescent="0.25">
      <c r="A3" s="16" t="s">
        <v>178</v>
      </c>
      <c r="B3" s="159" t="str">
        <f>IF('Per Unit Rate Calculations'!B3="","",'Per Unit Rate Calculations'!B3)</f>
        <v>Peter's Test Lab</v>
      </c>
      <c r="C3" s="18"/>
      <c r="D3" s="18"/>
      <c r="E3" s="18"/>
      <c r="F3" s="18"/>
      <c r="G3" s="18"/>
      <c r="H3" s="18"/>
      <c r="Q3" s="136"/>
      <c r="S3" s="143"/>
      <c r="T3" s="85"/>
      <c r="U3" s="144"/>
      <c r="V3" s="144"/>
    </row>
    <row r="4" spans="1:22" ht="15.75" x14ac:dyDescent="0.25">
      <c r="A4" s="1"/>
      <c r="B4" s="129" t="s">
        <v>167</v>
      </c>
      <c r="C4" s="230" t="s">
        <v>168</v>
      </c>
      <c r="D4" s="230"/>
      <c r="E4" s="230"/>
      <c r="F4" s="18"/>
      <c r="G4" s="18"/>
      <c r="H4" s="18"/>
      <c r="Q4" s="87"/>
    </row>
    <row r="5" spans="1:22" ht="16.5" thickBot="1" x14ac:dyDescent="0.3">
      <c r="A5" s="19"/>
      <c r="B5" s="131" t="s">
        <v>160</v>
      </c>
      <c r="C5" s="130">
        <v>0.29799999999999999</v>
      </c>
      <c r="D5" s="19"/>
      <c r="E5" s="19"/>
      <c r="F5" s="19"/>
      <c r="G5" s="19"/>
      <c r="H5" s="19"/>
      <c r="I5" s="19"/>
      <c r="J5" s="19"/>
      <c r="K5" s="19"/>
      <c r="L5" s="19"/>
      <c r="M5" s="19"/>
      <c r="N5" s="19"/>
      <c r="Q5" s="138"/>
    </row>
    <row r="6" spans="1:22" ht="15.75" x14ac:dyDescent="0.25">
      <c r="A6" s="20" t="s">
        <v>1</v>
      </c>
      <c r="B6" s="20"/>
      <c r="C6" s="18"/>
      <c r="D6" s="18"/>
      <c r="E6" s="18"/>
      <c r="F6" s="18"/>
      <c r="G6" s="18"/>
      <c r="H6" s="18"/>
    </row>
    <row r="7" spans="1:22" ht="47.25" x14ac:dyDescent="0.25">
      <c r="A7" s="21" t="s">
        <v>2</v>
      </c>
      <c r="B7" s="21" t="s">
        <v>25</v>
      </c>
      <c r="C7" s="22" t="s">
        <v>3</v>
      </c>
      <c r="D7" s="22" t="s">
        <v>4</v>
      </c>
      <c r="E7" s="22" t="s">
        <v>5</v>
      </c>
      <c r="F7" s="22" t="s">
        <v>6</v>
      </c>
      <c r="G7" s="22" t="s">
        <v>7</v>
      </c>
      <c r="H7" s="22" t="s">
        <v>8</v>
      </c>
    </row>
    <row r="8" spans="1:22" ht="15.75" x14ac:dyDescent="0.25">
      <c r="A8" s="23"/>
      <c r="B8" s="23"/>
      <c r="C8" s="23" t="s">
        <v>9</v>
      </c>
      <c r="D8" s="23" t="s">
        <v>10</v>
      </c>
      <c r="E8" s="23" t="s">
        <v>11</v>
      </c>
      <c r="F8" s="23" t="s">
        <v>12</v>
      </c>
      <c r="G8" s="23" t="s">
        <v>13</v>
      </c>
      <c r="H8" s="23" t="s">
        <v>14</v>
      </c>
    </row>
    <row r="9" spans="1:22" ht="15.75" x14ac:dyDescent="0.25">
      <c r="A9" s="24"/>
      <c r="B9" s="24"/>
      <c r="C9" s="24"/>
      <c r="D9" s="24"/>
      <c r="E9" s="24" t="s">
        <v>15</v>
      </c>
      <c r="F9" s="24"/>
      <c r="G9" s="24" t="s">
        <v>16</v>
      </c>
      <c r="H9" s="24" t="s">
        <v>17</v>
      </c>
    </row>
    <row r="10" spans="1:22" ht="15.75" x14ac:dyDescent="0.25">
      <c r="A10" s="189" t="s">
        <v>39</v>
      </c>
      <c r="B10" s="189"/>
      <c r="C10" s="190">
        <v>0.05</v>
      </c>
      <c r="D10" s="191">
        <v>101000</v>
      </c>
      <c r="E10" s="202">
        <f>C10*D10</f>
        <v>5050</v>
      </c>
      <c r="F10" s="203">
        <v>0.22</v>
      </c>
      <c r="G10" s="202">
        <f>E10*F10</f>
        <v>1111</v>
      </c>
      <c r="H10" s="202">
        <f>E10+G10</f>
        <v>6161</v>
      </c>
    </row>
    <row r="11" spans="1:22" ht="15.75" x14ac:dyDescent="0.25">
      <c r="A11" s="192" t="s">
        <v>39</v>
      </c>
      <c r="B11" s="192"/>
      <c r="C11" s="193">
        <v>0.15</v>
      </c>
      <c r="D11" s="194">
        <v>75000</v>
      </c>
      <c r="E11" s="204">
        <f>C11*D11</f>
        <v>11250</v>
      </c>
      <c r="F11" s="205">
        <v>0.19</v>
      </c>
      <c r="G11" s="204">
        <f>E11*F11</f>
        <v>2137.5</v>
      </c>
      <c r="H11" s="204">
        <f>E11+G11</f>
        <v>13387.5</v>
      </c>
    </row>
    <row r="12" spans="1:22" ht="15.75" x14ac:dyDescent="0.25">
      <c r="A12" s="195" t="s">
        <v>39</v>
      </c>
      <c r="B12" s="189"/>
      <c r="C12" s="190">
        <v>0.5</v>
      </c>
      <c r="D12" s="191">
        <v>50000</v>
      </c>
      <c r="E12" s="202">
        <f>C12*D12</f>
        <v>25000</v>
      </c>
      <c r="F12" s="203">
        <v>0.23</v>
      </c>
      <c r="G12" s="202">
        <f>E12*F12</f>
        <v>5750</v>
      </c>
      <c r="H12" s="202">
        <f>E12+G12</f>
        <v>30750</v>
      </c>
    </row>
    <row r="13" spans="1:22" ht="15.75" x14ac:dyDescent="0.25">
      <c r="A13" s="195" t="s">
        <v>39</v>
      </c>
      <c r="B13" s="189"/>
      <c r="C13" s="190">
        <v>0.5</v>
      </c>
      <c r="D13" s="196">
        <v>50000</v>
      </c>
      <c r="E13" s="202">
        <f>C13*D13</f>
        <v>25000</v>
      </c>
      <c r="F13" s="203">
        <v>0.25</v>
      </c>
      <c r="G13" s="202">
        <f>E13*F13</f>
        <v>6250</v>
      </c>
      <c r="H13" s="202">
        <f>E13+G13</f>
        <v>31250</v>
      </c>
    </row>
    <row r="14" spans="1:22" ht="15.75" x14ac:dyDescent="0.25">
      <c r="A14" s="26" t="s">
        <v>18</v>
      </c>
      <c r="B14" s="26"/>
      <c r="C14" s="27">
        <f>SUM(C10:C13)</f>
        <v>1.2</v>
      </c>
      <c r="D14" s="191"/>
      <c r="E14" s="202">
        <f>SUM(E10:E13)</f>
        <v>66300</v>
      </c>
      <c r="F14" s="206"/>
      <c r="G14" s="202">
        <f>SUM(G10:G13)</f>
        <v>15248.5</v>
      </c>
      <c r="H14" s="202">
        <f>SUM(H10:H13)</f>
        <v>81548.5</v>
      </c>
    </row>
    <row r="15" spans="1:22" ht="15.75" x14ac:dyDescent="0.25">
      <c r="A15" s="17"/>
      <c r="B15" s="17"/>
      <c r="C15" s="29"/>
      <c r="D15" s="197"/>
      <c r="E15" s="207"/>
      <c r="F15" s="207"/>
      <c r="G15" s="207"/>
      <c r="H15" s="207"/>
    </row>
    <row r="16" spans="1:22" ht="15.75" x14ac:dyDescent="0.25">
      <c r="A16" s="44" t="s">
        <v>55</v>
      </c>
      <c r="B16" s="44"/>
      <c r="C16" s="216"/>
      <c r="D16" s="216"/>
      <c r="E16" s="216"/>
      <c r="F16" s="216"/>
      <c r="G16" s="216"/>
      <c r="H16" s="201">
        <v>0</v>
      </c>
    </row>
    <row r="17" spans="1:8" ht="15.75" x14ac:dyDescent="0.25">
      <c r="A17" s="44" t="s">
        <v>56</v>
      </c>
      <c r="B17" s="44"/>
      <c r="C17" s="216"/>
      <c r="D17" s="216"/>
      <c r="E17" s="216"/>
      <c r="F17" s="216"/>
      <c r="G17" s="216"/>
      <c r="H17" s="201">
        <v>0</v>
      </c>
    </row>
    <row r="18" spans="1:8" ht="15.75" x14ac:dyDescent="0.25">
      <c r="A18" s="17" t="s">
        <v>62</v>
      </c>
      <c r="B18" s="17"/>
      <c r="C18" s="18"/>
      <c r="D18" s="18"/>
      <c r="E18" s="18"/>
      <c r="F18" s="18"/>
      <c r="G18" s="18"/>
      <c r="H18" s="201">
        <v>0</v>
      </c>
    </row>
    <row r="19" spans="1:8" ht="15.75" x14ac:dyDescent="0.25">
      <c r="A19" s="17" t="s">
        <v>186</v>
      </c>
      <c r="B19" s="17"/>
      <c r="C19" s="18"/>
      <c r="D19" s="18"/>
      <c r="E19" s="18"/>
      <c r="F19" s="18"/>
      <c r="G19" s="18"/>
      <c r="H19" s="201">
        <v>0</v>
      </c>
    </row>
    <row r="20" spans="1:8" ht="15.75" x14ac:dyDescent="0.25">
      <c r="A20" s="17"/>
      <c r="B20" s="17"/>
      <c r="C20" s="18"/>
      <c r="D20" s="18"/>
      <c r="E20" s="18"/>
      <c r="F20" s="18"/>
      <c r="G20" s="18"/>
      <c r="H20" s="198"/>
    </row>
    <row r="21" spans="1:8" ht="15.75" x14ac:dyDescent="0.25">
      <c r="A21" s="26" t="s">
        <v>19</v>
      </c>
      <c r="B21" s="26"/>
      <c r="C21" s="26"/>
      <c r="D21" s="26"/>
      <c r="E21" s="26"/>
      <c r="F21" s="26"/>
      <c r="G21" s="26"/>
      <c r="H21" s="208">
        <f>SUM(H16:H20)</f>
        <v>0</v>
      </c>
    </row>
    <row r="22" spans="1:8" ht="15.75" x14ac:dyDescent="0.25">
      <c r="A22" s="17"/>
      <c r="B22" s="17"/>
      <c r="C22" s="17"/>
      <c r="D22" s="17"/>
      <c r="E22" s="17"/>
      <c r="F22" s="17"/>
      <c r="G22" s="17"/>
      <c r="H22" s="209"/>
    </row>
    <row r="23" spans="1:8" ht="15.75" x14ac:dyDescent="0.25">
      <c r="A23" s="26" t="s">
        <v>54</v>
      </c>
      <c r="B23" s="26"/>
      <c r="C23" s="26"/>
      <c r="D23" s="26"/>
      <c r="E23" s="26"/>
      <c r="F23" s="26"/>
      <c r="G23" s="26"/>
      <c r="H23" s="210">
        <v>0</v>
      </c>
    </row>
    <row r="24" spans="1:8" ht="15.75" x14ac:dyDescent="0.25">
      <c r="A24" s="17"/>
      <c r="B24" s="17"/>
      <c r="C24" s="17"/>
      <c r="D24" s="17"/>
      <c r="E24" s="17"/>
      <c r="F24" s="17"/>
      <c r="G24" s="17"/>
      <c r="H24" s="209"/>
    </row>
    <row r="25" spans="1:8" ht="16.5" thickBot="1" x14ac:dyDescent="0.3">
      <c r="A25" s="31" t="s">
        <v>187</v>
      </c>
      <c r="B25" s="31"/>
      <c r="C25" s="31"/>
      <c r="D25" s="31"/>
      <c r="E25" s="31"/>
      <c r="F25" s="31"/>
      <c r="G25" s="31"/>
      <c r="H25" s="211">
        <f>SUM(H14,H21,H23)</f>
        <v>81548.5</v>
      </c>
    </row>
    <row r="26" spans="1:8" ht="16.5" thickTop="1" x14ac:dyDescent="0.25">
      <c r="A26" s="17"/>
      <c r="B26" s="17"/>
      <c r="C26" s="18"/>
      <c r="D26" s="18"/>
      <c r="E26" s="18"/>
      <c r="F26" s="18"/>
      <c r="G26" s="18"/>
      <c r="H26" s="212"/>
    </row>
    <row r="27" spans="1:8" ht="15.75" x14ac:dyDescent="0.25">
      <c r="A27" s="16" t="s">
        <v>188</v>
      </c>
      <c r="B27" s="17"/>
      <c r="C27" s="18"/>
      <c r="D27" s="18"/>
      <c r="E27" s="18"/>
      <c r="F27" s="18"/>
      <c r="G27" s="18"/>
      <c r="H27" s="212"/>
    </row>
    <row r="28" spans="1:8" ht="15.75" x14ac:dyDescent="0.25">
      <c r="A28" s="17" t="s">
        <v>189</v>
      </c>
      <c r="B28" s="17"/>
      <c r="C28" s="18"/>
      <c r="D28" s="18"/>
      <c r="E28" s="18"/>
      <c r="F28" s="18"/>
      <c r="G28" s="18"/>
      <c r="H28" s="212">
        <v>1100000</v>
      </c>
    </row>
    <row r="29" spans="1:8" ht="15.75" x14ac:dyDescent="0.25">
      <c r="A29" s="17" t="s">
        <v>186</v>
      </c>
      <c r="B29" s="17"/>
      <c r="C29" s="18"/>
      <c r="D29" s="18"/>
      <c r="E29" s="18"/>
      <c r="F29" s="18"/>
      <c r="G29" s="18"/>
      <c r="H29" s="212">
        <v>-55000</v>
      </c>
    </row>
    <row r="30" spans="1:8" ht="15.75" x14ac:dyDescent="0.25">
      <c r="A30" s="17" t="s">
        <v>190</v>
      </c>
      <c r="B30" s="17"/>
      <c r="C30" s="18"/>
      <c r="D30" s="18"/>
      <c r="E30" s="18"/>
      <c r="F30" s="18"/>
      <c r="G30" s="18"/>
      <c r="H30" s="212">
        <v>-200000</v>
      </c>
    </row>
    <row r="31" spans="1:8" ht="16.5" thickBot="1" x14ac:dyDescent="0.3">
      <c r="A31" s="199" t="s">
        <v>191</v>
      </c>
      <c r="B31" s="199"/>
      <c r="C31" s="199"/>
      <c r="D31" s="199"/>
      <c r="E31" s="199"/>
      <c r="F31" s="199"/>
      <c r="G31" s="199"/>
      <c r="H31" s="211">
        <f>SUM(H28:H30)</f>
        <v>845000</v>
      </c>
    </row>
    <row r="32" spans="1:8" ht="16.5" thickTop="1" x14ac:dyDescent="0.25">
      <c r="A32" s="200"/>
      <c r="B32" s="200"/>
      <c r="C32" s="200"/>
      <c r="D32" s="200"/>
      <c r="E32" s="200"/>
      <c r="F32" s="200"/>
      <c r="G32" s="200"/>
      <c r="H32" s="213"/>
    </row>
    <row r="33" spans="1:8" ht="16.5" thickBot="1" x14ac:dyDescent="0.3">
      <c r="A33" s="32" t="s">
        <v>192</v>
      </c>
      <c r="B33" s="32"/>
      <c r="C33" s="33"/>
      <c r="D33" s="33"/>
      <c r="E33" s="33"/>
      <c r="F33" s="33"/>
      <c r="G33" s="33"/>
      <c r="H33" s="214">
        <f>H25/H31</f>
        <v>9.650710059171598E-2</v>
      </c>
    </row>
    <row r="34" spans="1:8" ht="15.75" x14ac:dyDescent="0.25">
      <c r="A34" s="65" t="s">
        <v>193</v>
      </c>
      <c r="H34" s="215">
        <f>H33*(1+C5)</f>
        <v>0.12526621656804734</v>
      </c>
    </row>
  </sheetData>
  <mergeCells count="2">
    <mergeCell ref="B2:E2"/>
    <mergeCell ref="C4:E4"/>
  </mergeCells>
  <pageMargins left="0.7" right="0.7" top="0.75" bottom="0.7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1"/>
  <sheetViews>
    <sheetView zoomScaleNormal="100" zoomScaleSheetLayoutView="100" workbookViewId="0">
      <selection activeCell="F60" sqref="F60"/>
    </sheetView>
  </sheetViews>
  <sheetFormatPr defaultColWidth="8.85546875" defaultRowHeight="12.75" x14ac:dyDescent="0.2"/>
  <cols>
    <col min="1" max="1" width="33.7109375" customWidth="1"/>
    <col min="2" max="2" width="30" customWidth="1"/>
    <col min="3" max="4" width="13.42578125" customWidth="1"/>
    <col min="5" max="5" width="15.28515625" customWidth="1"/>
  </cols>
  <sheetData>
    <row r="1" spans="1:10" ht="15.75" x14ac:dyDescent="0.2">
      <c r="A1" s="233" t="s">
        <v>152</v>
      </c>
      <c r="B1" s="233"/>
      <c r="C1" s="233"/>
      <c r="D1" s="233"/>
      <c r="E1" s="233"/>
      <c r="F1" s="233"/>
      <c r="G1" s="233"/>
      <c r="H1" s="233"/>
      <c r="I1" s="233"/>
    </row>
    <row r="2" spans="1:10" ht="15.75" x14ac:dyDescent="0.25">
      <c r="J2" s="136" t="s">
        <v>164</v>
      </c>
    </row>
    <row r="3" spans="1:10" ht="15.75" x14ac:dyDescent="0.25">
      <c r="A3" s="16" t="s">
        <v>184</v>
      </c>
      <c r="B3" s="232" t="str">
        <f>IF('Per Unit Rate Calculations'!B3:E3="","",'Per Unit Rate Calculations'!B3:E3)</f>
        <v>Peter's Test Lab</v>
      </c>
      <c r="C3" s="232"/>
      <c r="D3" s="232"/>
      <c r="E3" s="232"/>
      <c r="F3" s="158"/>
      <c r="J3" s="87" t="s">
        <v>78</v>
      </c>
    </row>
    <row r="4" spans="1:10" ht="15.75" x14ac:dyDescent="0.25">
      <c r="A4" s="2" t="s">
        <v>178</v>
      </c>
      <c r="B4" s="159" t="str">
        <f>IF('Per Unit Rate Calculations'!B4="","",'Per Unit Rate Calculations'!B4)</f>
        <v>20xx-xx</v>
      </c>
      <c r="C4" s="142"/>
      <c r="D4" s="142"/>
      <c r="E4" s="142"/>
      <c r="F4" s="142"/>
      <c r="J4" s="87"/>
    </row>
    <row r="5" spans="1:10" ht="15.75" x14ac:dyDescent="0.25">
      <c r="A5" s="2" t="s">
        <v>32</v>
      </c>
      <c r="B5" s="6"/>
      <c r="J5" s="85" t="s">
        <v>120</v>
      </c>
    </row>
    <row r="6" spans="1:10" ht="15.75" x14ac:dyDescent="0.25">
      <c r="A6" s="1"/>
      <c r="B6" s="1"/>
      <c r="C6" s="1"/>
      <c r="D6" s="1"/>
      <c r="J6" s="85" t="s">
        <v>79</v>
      </c>
    </row>
    <row r="7" spans="1:10" ht="15.75" x14ac:dyDescent="0.25">
      <c r="A7" s="34" t="s">
        <v>22</v>
      </c>
      <c r="B7" s="34"/>
      <c r="C7" s="34"/>
      <c r="D7" s="34"/>
      <c r="E7" s="17"/>
      <c r="F7" s="1"/>
      <c r="G7" s="1"/>
      <c r="J7" s="85" t="s">
        <v>145</v>
      </c>
    </row>
    <row r="8" spans="1:10" ht="15.75" x14ac:dyDescent="0.25">
      <c r="A8" s="17"/>
      <c r="B8" s="17"/>
      <c r="C8" s="234" t="s">
        <v>31</v>
      </c>
      <c r="D8" s="235"/>
      <c r="E8" s="235"/>
      <c r="F8" s="240"/>
      <c r="J8" s="85" t="s">
        <v>144</v>
      </c>
    </row>
    <row r="9" spans="1:10" ht="31.5" x14ac:dyDescent="0.25">
      <c r="A9" s="35"/>
      <c r="B9" s="36"/>
      <c r="C9" s="37" t="str">
        <f>'Per Unit Rate Calculations'!C5</f>
        <v>Per Unit - Gizmo</v>
      </c>
      <c r="D9" s="37" t="s">
        <v>163</v>
      </c>
      <c r="E9" s="37" t="str">
        <f>'Per Hour Rate Calculations'!C5</f>
        <v>Consult Fashion</v>
      </c>
      <c r="F9" s="133" t="s">
        <v>163</v>
      </c>
      <c r="J9" s="85" t="s">
        <v>121</v>
      </c>
    </row>
    <row r="10" spans="1:10" ht="15.75" x14ac:dyDescent="0.25">
      <c r="A10" s="38" t="s">
        <v>33</v>
      </c>
      <c r="B10" s="39"/>
      <c r="C10" s="69">
        <f>'Per Unit Rate Calculations'!H32*D10</f>
        <v>1600</v>
      </c>
      <c r="D10" s="132">
        <f>'Per Unit Rate Calculations'!H35</f>
        <v>0.8</v>
      </c>
      <c r="E10" s="69">
        <f>'Per Hour Rate Calculations'!H32*F10</f>
        <v>1470.204</v>
      </c>
      <c r="F10" s="134">
        <f>'Per Hour Rate Calculations'!H35</f>
        <v>0.9</v>
      </c>
      <c r="G10" s="82"/>
      <c r="J10" s="85" t="s">
        <v>122</v>
      </c>
    </row>
    <row r="11" spans="1:10" ht="15.75" x14ac:dyDescent="0.25">
      <c r="A11" s="38" t="s">
        <v>34</v>
      </c>
      <c r="B11" s="39"/>
      <c r="C11" s="69">
        <f>'Per Unit Rate Calculations'!H32*D11</f>
        <v>399.99999999999989</v>
      </c>
      <c r="D11" s="132">
        <f>'Per Unit Rate Calculations'!H37</f>
        <v>0.19999999999999996</v>
      </c>
      <c r="E11" s="69">
        <f>'Per Hour Rate Calculations'!H32*F11</f>
        <v>163.35599999999997</v>
      </c>
      <c r="F11" s="134">
        <f>'Per Hour Rate Calculations'!H37</f>
        <v>9.9999999999999978E-2</v>
      </c>
      <c r="G11" s="7"/>
      <c r="J11" s="85" t="s">
        <v>123</v>
      </c>
    </row>
    <row r="12" spans="1:10" ht="15.75" x14ac:dyDescent="0.25">
      <c r="A12" s="40" t="s">
        <v>44</v>
      </c>
      <c r="B12" s="41"/>
      <c r="C12" s="42">
        <f>'Per Unit Rate Calculations'!H34</f>
        <v>14.53068</v>
      </c>
      <c r="D12" s="42"/>
      <c r="E12" s="42">
        <f>'Per Hour Rate Calculations'!H34</f>
        <v>37.011190283797355</v>
      </c>
      <c r="F12" s="135"/>
      <c r="G12" s="82"/>
      <c r="J12" s="85" t="s">
        <v>124</v>
      </c>
    </row>
    <row r="13" spans="1:10" ht="15.75" x14ac:dyDescent="0.25">
      <c r="A13" s="38" t="s">
        <v>45</v>
      </c>
      <c r="B13" s="35"/>
      <c r="C13" s="42">
        <f>'Per Unit Rate Calculations'!H36</f>
        <v>25.350822640000001</v>
      </c>
      <c r="D13" s="42"/>
      <c r="E13" s="42">
        <f>'Per Hour Rate Calculations'!H36</f>
        <v>54.397193858811427</v>
      </c>
      <c r="F13" s="135"/>
      <c r="G13" s="7"/>
      <c r="J13" s="85" t="s">
        <v>125</v>
      </c>
    </row>
    <row r="14" spans="1:10" ht="15.75" x14ac:dyDescent="0.25">
      <c r="A14" s="43" t="s">
        <v>46</v>
      </c>
      <c r="B14" s="44"/>
      <c r="C14" s="44"/>
      <c r="D14" s="44"/>
      <c r="E14" s="44"/>
      <c r="F14" s="8"/>
      <c r="G14" s="8"/>
      <c r="J14" s="85" t="s">
        <v>123</v>
      </c>
    </row>
    <row r="15" spans="1:10" ht="18.75" x14ac:dyDescent="0.25">
      <c r="A15" s="45" t="s">
        <v>40</v>
      </c>
      <c r="B15" s="46"/>
      <c r="C15" s="46"/>
      <c r="D15" s="46"/>
      <c r="E15" s="17"/>
      <c r="J15" s="85" t="s">
        <v>124</v>
      </c>
    </row>
    <row r="16" spans="1:10" ht="18.75" x14ac:dyDescent="0.25">
      <c r="A16" s="45"/>
      <c r="B16" s="46"/>
      <c r="C16" s="46"/>
      <c r="D16" s="46"/>
      <c r="E16" s="17"/>
      <c r="J16" s="85" t="s">
        <v>126</v>
      </c>
    </row>
    <row r="17" spans="1:10" ht="15.75" x14ac:dyDescent="0.25">
      <c r="A17" s="34" t="s">
        <v>23</v>
      </c>
      <c r="B17" s="34"/>
      <c r="C17" s="17"/>
      <c r="D17" s="17"/>
      <c r="E17" s="17"/>
      <c r="F17" s="1"/>
      <c r="G17" s="1"/>
      <c r="J17" s="85" t="s">
        <v>127</v>
      </c>
    </row>
    <row r="18" spans="1:10" ht="15.75" x14ac:dyDescent="0.25">
      <c r="A18" s="47"/>
      <c r="B18" s="21"/>
      <c r="C18" s="48"/>
      <c r="D18" s="48"/>
      <c r="E18" s="21"/>
      <c r="F18" s="3"/>
      <c r="G18" s="4"/>
      <c r="J18" s="85" t="s">
        <v>128</v>
      </c>
    </row>
    <row r="19" spans="1:10" ht="15.75" x14ac:dyDescent="0.25">
      <c r="A19" s="49"/>
      <c r="B19" s="50"/>
      <c r="C19" s="234" t="s">
        <v>31</v>
      </c>
      <c r="D19" s="235"/>
      <c r="E19" s="49"/>
      <c r="F19" s="4"/>
      <c r="G19" s="4"/>
      <c r="J19" s="85" t="s">
        <v>119</v>
      </c>
    </row>
    <row r="20" spans="1:10" ht="31.5" x14ac:dyDescent="0.25">
      <c r="A20" s="51" t="s">
        <v>24</v>
      </c>
      <c r="B20" s="52" t="s">
        <v>25</v>
      </c>
      <c r="C20" s="37" t="str">
        <f>C9</f>
        <v>Per Unit - Gizmo</v>
      </c>
      <c r="D20" s="37" t="str">
        <f>E9</f>
        <v>Consult Fashion</v>
      </c>
      <c r="E20" s="51" t="s">
        <v>0</v>
      </c>
      <c r="F20" s="4"/>
      <c r="G20" s="4"/>
      <c r="J20" s="85" t="s">
        <v>129</v>
      </c>
    </row>
    <row r="21" spans="1:10" ht="15.75" x14ac:dyDescent="0.25">
      <c r="A21" s="53" t="str">
        <f>'Per Unit Rate Calculations'!A11</f>
        <v>Name</v>
      </c>
      <c r="B21" s="54" t="str">
        <f>'Per Unit Rate Calculations'!B11</f>
        <v>Title (e.g. Director)</v>
      </c>
      <c r="C21" s="55">
        <f>'Per Unit Rate Calculations'!C11</f>
        <v>0.05</v>
      </c>
      <c r="D21" s="55">
        <f>'Per Hour Rate Calculations'!C11</f>
        <v>0.05</v>
      </c>
      <c r="E21" s="55">
        <f>SUM(C21:D21)</f>
        <v>0.1</v>
      </c>
      <c r="F21" s="82"/>
      <c r="G21" s="91"/>
      <c r="J21" s="85" t="s">
        <v>130</v>
      </c>
    </row>
    <row r="22" spans="1:10" ht="15.75" x14ac:dyDescent="0.25">
      <c r="A22" s="53" t="str">
        <f>'Per Unit Rate Calculations'!A12</f>
        <v>Name</v>
      </c>
      <c r="B22" s="54" t="str">
        <f>'Per Unit Rate Calculations'!B12</f>
        <v>Title (e.g. SRA)</v>
      </c>
      <c r="C22" s="55">
        <f>'Per Unit Rate Calculations'!C12</f>
        <v>0.15</v>
      </c>
      <c r="D22" s="55">
        <f>'Per Hour Rate Calculations'!C12</f>
        <v>0</v>
      </c>
      <c r="E22" s="55">
        <f>SUM(C22:D22)</f>
        <v>0.15</v>
      </c>
      <c r="F22" s="92"/>
      <c r="G22" s="8"/>
      <c r="J22" s="85" t="s">
        <v>131</v>
      </c>
    </row>
    <row r="23" spans="1:10" ht="15.75" x14ac:dyDescent="0.25">
      <c r="A23" s="53" t="str">
        <f>'Per Unit Rate Calculations'!A13</f>
        <v>Name</v>
      </c>
      <c r="B23" s="54" t="str">
        <f>'Per Unit Rate Calculations'!B13</f>
        <v>Title (e.g. Stdnt Asst*)</v>
      </c>
      <c r="C23" s="55">
        <f>'Per Unit Rate Calculations'!C13</f>
        <v>0.25</v>
      </c>
      <c r="D23" s="55">
        <f>'Per Hour Rate Calculations'!C13</f>
        <v>0.5</v>
      </c>
      <c r="E23" s="55">
        <f>SUM(C23:D23)</f>
        <v>0.75</v>
      </c>
      <c r="J23" s="85" t="s">
        <v>132</v>
      </c>
    </row>
    <row r="24" spans="1:10" ht="15.75" x14ac:dyDescent="0.25">
      <c r="A24" s="53" t="str">
        <f>'Per Unit Rate Calculations'!A14</f>
        <v>Name</v>
      </c>
      <c r="B24" s="54">
        <f>'Per Unit Rate Calculations'!B14</f>
        <v>0</v>
      </c>
      <c r="C24" s="55">
        <f>'Per Unit Rate Calculations'!C14</f>
        <v>0</v>
      </c>
      <c r="D24" s="55">
        <f>'Per Hour Rate Calculations'!C14</f>
        <v>0.5</v>
      </c>
      <c r="E24" s="55">
        <f>SUM(C24:D24)</f>
        <v>0.5</v>
      </c>
      <c r="J24" s="85" t="s">
        <v>133</v>
      </c>
    </row>
    <row r="25" spans="1:10" ht="15.75" x14ac:dyDescent="0.25">
      <c r="A25" s="18"/>
      <c r="B25" s="18"/>
      <c r="C25" s="18"/>
      <c r="D25" s="18"/>
      <c r="E25" s="18"/>
      <c r="J25" s="85" t="s">
        <v>134</v>
      </c>
    </row>
    <row r="26" spans="1:10" ht="15.75" x14ac:dyDescent="0.25">
      <c r="A26" s="56" t="s">
        <v>21</v>
      </c>
      <c r="B26" s="18"/>
      <c r="C26" s="18"/>
      <c r="D26" s="18"/>
      <c r="E26" s="18"/>
      <c r="J26" s="85" t="s">
        <v>135</v>
      </c>
    </row>
    <row r="27" spans="1:10" ht="15.75" x14ac:dyDescent="0.25">
      <c r="A27" s="35"/>
      <c r="B27" s="18"/>
      <c r="C27" s="18"/>
      <c r="D27" s="18"/>
      <c r="E27" s="18"/>
      <c r="J27" s="85" t="s">
        <v>158</v>
      </c>
    </row>
    <row r="28" spans="1:10" ht="15.75" x14ac:dyDescent="0.25">
      <c r="A28" s="57"/>
      <c r="B28" s="58"/>
      <c r="C28" s="238" t="s">
        <v>31</v>
      </c>
      <c r="D28" s="239"/>
      <c r="E28" s="81"/>
      <c r="J28" s="85" t="s">
        <v>143</v>
      </c>
    </row>
    <row r="29" spans="1:10" ht="31.5" x14ac:dyDescent="0.25">
      <c r="A29" s="59"/>
      <c r="B29" s="56"/>
      <c r="C29" s="37" t="str">
        <f>C9</f>
        <v>Per Unit - Gizmo</v>
      </c>
      <c r="D29" s="37" t="str">
        <f>E9</f>
        <v>Consult Fashion</v>
      </c>
      <c r="E29" s="37" t="s">
        <v>0</v>
      </c>
      <c r="G29" s="1"/>
      <c r="J29" s="85" t="s">
        <v>136</v>
      </c>
    </row>
    <row r="30" spans="1:10" ht="15.75" x14ac:dyDescent="0.25">
      <c r="A30" s="60" t="s">
        <v>43</v>
      </c>
      <c r="B30" s="56"/>
      <c r="C30" s="61"/>
      <c r="D30" s="61"/>
      <c r="E30" s="62"/>
      <c r="F30" s="10"/>
      <c r="G30" s="10"/>
      <c r="J30" s="85" t="s">
        <v>137</v>
      </c>
    </row>
    <row r="31" spans="1:10" ht="15.75" x14ac:dyDescent="0.25">
      <c r="A31" s="63" t="s">
        <v>41</v>
      </c>
      <c r="B31" s="44"/>
      <c r="C31" s="93">
        <f>C10*C12</f>
        <v>23249.088</v>
      </c>
      <c r="D31" s="93">
        <f>E10*E12</f>
        <v>54414.000000000007</v>
      </c>
      <c r="E31" s="94">
        <f>SUM(C31:D31)</f>
        <v>77663.088000000003</v>
      </c>
      <c r="F31" s="10"/>
      <c r="G31" s="10"/>
      <c r="J31" s="85" t="s">
        <v>138</v>
      </c>
    </row>
    <row r="32" spans="1:10" ht="15.75" x14ac:dyDescent="0.25">
      <c r="A32" s="63" t="s">
        <v>35</v>
      </c>
      <c r="B32" s="44"/>
      <c r="C32" s="95">
        <f>C11*C13</f>
        <v>10140.329055999997</v>
      </c>
      <c r="D32" s="95">
        <f>E11*E13</f>
        <v>8886.1079999999984</v>
      </c>
      <c r="E32" s="96">
        <f>SUM(C32:D32)</f>
        <v>19026.437055999995</v>
      </c>
      <c r="F32" s="10"/>
      <c r="G32" s="10"/>
      <c r="J32" s="85" t="s">
        <v>139</v>
      </c>
    </row>
    <row r="33" spans="1:10" ht="15.75" x14ac:dyDescent="0.25">
      <c r="A33" s="72" t="s">
        <v>42</v>
      </c>
      <c r="B33" s="71"/>
      <c r="C33" s="97">
        <f>SUM(C31:C32)</f>
        <v>33389.417055999998</v>
      </c>
      <c r="D33" s="97">
        <f>SUM(D31:D32)</f>
        <v>63300.108000000007</v>
      </c>
      <c r="E33" s="97">
        <f>SUM(E31:E32)</f>
        <v>96689.525055999999</v>
      </c>
      <c r="F33" s="10"/>
      <c r="G33" s="10"/>
      <c r="J33" s="85" t="s">
        <v>140</v>
      </c>
    </row>
    <row r="34" spans="1:10" ht="15.75" x14ac:dyDescent="0.25">
      <c r="A34" s="59"/>
      <c r="B34" s="56"/>
      <c r="C34" s="98"/>
      <c r="D34" s="98"/>
      <c r="E34" s="94"/>
      <c r="F34" s="10"/>
      <c r="G34" s="10"/>
      <c r="J34" s="87" t="s">
        <v>153</v>
      </c>
    </row>
    <row r="35" spans="1:10" ht="15.75" x14ac:dyDescent="0.25">
      <c r="A35" s="60" t="s">
        <v>26</v>
      </c>
      <c r="B35" s="65"/>
      <c r="C35" s="99"/>
      <c r="D35" s="99"/>
      <c r="E35" s="94"/>
      <c r="F35" s="10"/>
      <c r="G35" s="10"/>
      <c r="J35" s="87" t="s">
        <v>154</v>
      </c>
    </row>
    <row r="36" spans="1:10" ht="15.75" x14ac:dyDescent="0.25">
      <c r="A36" s="63" t="str">
        <f>'Per Unit Rate Calculations'!A11</f>
        <v>Name</v>
      </c>
      <c r="B36" s="44" t="str">
        <f>'Per Unit Rate Calculations'!B11</f>
        <v>Title (e.g. Director)</v>
      </c>
      <c r="C36" s="93">
        <f>'Per Unit Rate Calculations'!H11</f>
        <v>6161</v>
      </c>
      <c r="D36" s="100">
        <f>'Per Hour Rate Calculations'!H11</f>
        <v>5185</v>
      </c>
      <c r="E36" s="100">
        <f>SUM(C36:D36)</f>
        <v>11346</v>
      </c>
      <c r="F36" s="10"/>
      <c r="G36" s="10"/>
      <c r="J36" s="87" t="s">
        <v>159</v>
      </c>
    </row>
    <row r="37" spans="1:10" ht="15.75" x14ac:dyDescent="0.25">
      <c r="A37" s="63" t="str">
        <f>'Per Unit Rate Calculations'!A12</f>
        <v>Name</v>
      </c>
      <c r="B37" s="44" t="str">
        <f>'Per Unit Rate Calculations'!B12</f>
        <v>Title (e.g. SRA)</v>
      </c>
      <c r="C37" s="93">
        <f>'Per Unit Rate Calculations'!H12</f>
        <v>13387.5</v>
      </c>
      <c r="D37" s="101">
        <f>'Per Hour Rate Calculations'!H12</f>
        <v>0</v>
      </c>
      <c r="E37" s="101">
        <f>SUM(C37:D37)</f>
        <v>13387.5</v>
      </c>
      <c r="F37" s="10"/>
      <c r="G37" s="10"/>
      <c r="J37" s="85" t="s">
        <v>141</v>
      </c>
    </row>
    <row r="38" spans="1:10" ht="15.75" x14ac:dyDescent="0.25">
      <c r="A38" s="63" t="str">
        <f>'Per Unit Rate Calculations'!A13</f>
        <v>Name</v>
      </c>
      <c r="B38" s="44" t="str">
        <f>'Per Unit Rate Calculations'!B13</f>
        <v>Title (e.g. Stdnt Asst*)</v>
      </c>
      <c r="C38" s="101">
        <f>'Per Unit Rate Calculations'!H13</f>
        <v>5287.86</v>
      </c>
      <c r="D38" s="100">
        <f>'Per Hour Rate Calculations'!H13</f>
        <v>30750</v>
      </c>
      <c r="E38" s="100">
        <f>SUM(C38:D38)</f>
        <v>36037.86</v>
      </c>
      <c r="F38" s="10"/>
      <c r="G38" s="10"/>
      <c r="J38" s="85" t="s">
        <v>142</v>
      </c>
    </row>
    <row r="39" spans="1:10" ht="15.75" x14ac:dyDescent="0.25">
      <c r="A39" s="63" t="str">
        <f>'Per Unit Rate Calculations'!A14</f>
        <v>Name</v>
      </c>
      <c r="B39" s="44">
        <f>'Per Unit Rate Calculations'!B14</f>
        <v>0</v>
      </c>
      <c r="C39" s="101">
        <f>'Per Unit Rate Calculations'!H14</f>
        <v>0</v>
      </c>
      <c r="D39" s="100">
        <f>'Per Hour Rate Calculations'!H14</f>
        <v>31250</v>
      </c>
      <c r="E39" s="100">
        <f>SUM(C39:D39)</f>
        <v>31250</v>
      </c>
      <c r="F39" s="10"/>
      <c r="G39" s="10"/>
      <c r="J39" s="87" t="s">
        <v>146</v>
      </c>
    </row>
    <row r="40" spans="1:10" ht="15.75" x14ac:dyDescent="0.25">
      <c r="A40" s="141"/>
      <c r="B40" s="10"/>
      <c r="C40" s="97">
        <f>SUM(C36:C39)</f>
        <v>24836.36</v>
      </c>
      <c r="D40" s="97">
        <f>SUM(D36:D39)</f>
        <v>67185</v>
      </c>
      <c r="E40" s="102">
        <f>SUM(C40:D40)</f>
        <v>92021.36</v>
      </c>
      <c r="F40" s="10"/>
      <c r="G40" s="10"/>
      <c r="J40" s="87" t="s">
        <v>148</v>
      </c>
    </row>
    <row r="41" spans="1:10" ht="15.75" x14ac:dyDescent="0.25">
      <c r="A41" s="67"/>
      <c r="B41" s="66"/>
      <c r="C41" s="103"/>
      <c r="D41" s="103"/>
      <c r="E41" s="104"/>
      <c r="F41" s="11"/>
      <c r="G41" s="12"/>
      <c r="J41" s="87" t="s">
        <v>147</v>
      </c>
    </row>
    <row r="42" spans="1:10" ht="15.75" x14ac:dyDescent="0.25">
      <c r="A42" s="68" t="s">
        <v>27</v>
      </c>
      <c r="B42" s="65"/>
      <c r="C42" s="99"/>
      <c r="D42" s="99"/>
      <c r="E42" s="94"/>
      <c r="F42" s="11"/>
      <c r="G42" s="12"/>
      <c r="J42" s="87" t="s">
        <v>155</v>
      </c>
    </row>
    <row r="43" spans="1:10" ht="15.75" x14ac:dyDescent="0.25">
      <c r="A43" s="76" t="str">
        <f>'Per Unit Rate Calculations'!A17</f>
        <v>Office Supplies</v>
      </c>
      <c r="B43" s="77"/>
      <c r="C43" s="93">
        <f>'Per Unit Rate Calculations'!H17</f>
        <v>225</v>
      </c>
      <c r="D43" s="93">
        <f>'Per Hour Rate Calculations'!H17</f>
        <v>525</v>
      </c>
      <c r="E43" s="93">
        <f>SUM(C43:D43)</f>
        <v>750</v>
      </c>
      <c r="F43" s="82"/>
      <c r="G43" s="82"/>
    </row>
    <row r="44" spans="1:10" ht="15.75" x14ac:dyDescent="0.25">
      <c r="A44" s="76" t="str">
        <f>'Per Unit Rate Calculations'!A18</f>
        <v>Lab Supplies</v>
      </c>
      <c r="B44" s="77"/>
      <c r="C44" s="93">
        <f>'Per Unit Rate Calculations'!H18</f>
        <v>2500</v>
      </c>
      <c r="D44" s="93">
        <v>0</v>
      </c>
      <c r="E44" s="93">
        <f>SUM(C44:D44)</f>
        <v>2500</v>
      </c>
      <c r="F44" s="82"/>
      <c r="G44" s="82"/>
    </row>
    <row r="45" spans="1:10" ht="15.75" x14ac:dyDescent="0.25">
      <c r="A45" s="76" t="str">
        <f>'Per Unit Rate Calculations'!A19</f>
        <v>Equipment Depreciation</v>
      </c>
      <c r="B45" s="77"/>
      <c r="C45" s="93">
        <f>'Per Unit Rate Calculations'!H19</f>
        <v>12500</v>
      </c>
      <c r="D45" s="93">
        <v>0</v>
      </c>
      <c r="E45" s="93">
        <f>SUM(C45:D45)</f>
        <v>12500</v>
      </c>
      <c r="F45" s="82"/>
      <c r="G45" s="82"/>
    </row>
    <row r="46" spans="1:10" ht="15.75" x14ac:dyDescent="0.25">
      <c r="A46" s="236"/>
      <c r="B46" s="237"/>
      <c r="C46" s="93"/>
      <c r="D46" s="93"/>
      <c r="E46" s="93"/>
      <c r="F46" s="12"/>
      <c r="G46" s="12"/>
    </row>
    <row r="47" spans="1:10" ht="15.75" x14ac:dyDescent="0.25">
      <c r="A47" s="72" t="s">
        <v>28</v>
      </c>
      <c r="B47" s="70"/>
      <c r="C47" s="102">
        <f>SUM(C43:C46)</f>
        <v>15225</v>
      </c>
      <c r="D47" s="102">
        <f>SUM(D43:D46)</f>
        <v>525</v>
      </c>
      <c r="E47" s="102">
        <f>SUM(E43:E46)</f>
        <v>15750</v>
      </c>
      <c r="F47" s="15"/>
      <c r="G47" s="12"/>
    </row>
    <row r="48" spans="1:10" s="1" customFormat="1" ht="15.75" x14ac:dyDescent="0.25">
      <c r="A48" s="64"/>
      <c r="B48" s="66"/>
      <c r="C48" s="105"/>
      <c r="D48" s="106"/>
      <c r="E48" s="104"/>
      <c r="F48" s="15"/>
      <c r="G48" s="12"/>
    </row>
    <row r="49" spans="1:13" ht="12.95" customHeight="1" x14ac:dyDescent="0.25">
      <c r="A49" s="73" t="s">
        <v>38</v>
      </c>
      <c r="B49" s="70"/>
      <c r="C49" s="102">
        <f>'Per Unit Rate Calculations'!H23</f>
        <v>-1000</v>
      </c>
      <c r="D49" s="102">
        <f>'Per Hour Rate Calculations'!H23</f>
        <v>750</v>
      </c>
      <c r="E49" s="107">
        <f>SUM(C49:D49)</f>
        <v>-250</v>
      </c>
      <c r="F49" s="15"/>
      <c r="G49" s="12"/>
    </row>
    <row r="50" spans="1:13" ht="15.75" x14ac:dyDescent="0.25">
      <c r="A50" s="63"/>
      <c r="B50" s="44"/>
      <c r="C50" s="108"/>
      <c r="D50" s="109"/>
      <c r="E50" s="94"/>
      <c r="F50" s="12"/>
      <c r="G50" s="12"/>
    </row>
    <row r="51" spans="1:13" s="7" customFormat="1" ht="15.75" x14ac:dyDescent="0.25">
      <c r="A51" s="72" t="s">
        <v>29</v>
      </c>
      <c r="B51" s="71"/>
      <c r="C51" s="110">
        <f>C40+C47+C49</f>
        <v>39061.360000000001</v>
      </c>
      <c r="D51" s="102">
        <f>D40+D47+D49</f>
        <v>68460</v>
      </c>
      <c r="E51" s="107">
        <f>E40+E47+E49</f>
        <v>107521.36</v>
      </c>
      <c r="F51" s="12"/>
      <c r="G51" s="12"/>
      <c r="H51" s="83"/>
      <c r="I51" s="83"/>
      <c r="J51" s="83"/>
      <c r="K51" s="83"/>
    </row>
    <row r="52" spans="1:13" s="7" customFormat="1" ht="15.75" x14ac:dyDescent="0.25">
      <c r="A52" s="222"/>
      <c r="B52" s="65"/>
      <c r="C52" s="105"/>
      <c r="D52" s="106"/>
      <c r="E52" s="104"/>
      <c r="F52" s="12"/>
      <c r="G52" s="12"/>
      <c r="H52" s="83"/>
      <c r="I52" s="83"/>
      <c r="J52" s="83"/>
      <c r="K52" s="83"/>
    </row>
    <row r="53" spans="1:13" s="7" customFormat="1" ht="15.75" x14ac:dyDescent="0.25">
      <c r="A53" s="228" t="s">
        <v>195</v>
      </c>
      <c r="B53" s="224" t="str">
        <f>'Per Unit Rate Calculations'!B27 &amp;" / "&amp; 'Per Hour Rate Calculations'!B27</f>
        <v>GF11111 / GF11111</v>
      </c>
      <c r="C53" s="225">
        <f>'Per Unit Rate Calculations'!H27</f>
        <v>10000</v>
      </c>
      <c r="D53" s="226">
        <f>'Per Hour Rate Calculations'!H27</f>
        <v>8000</v>
      </c>
      <c r="E53" s="227">
        <f>C53+D53</f>
        <v>18000</v>
      </c>
      <c r="F53" s="12"/>
      <c r="G53" s="12"/>
      <c r="H53" s="83"/>
      <c r="I53" s="83"/>
      <c r="J53" s="83"/>
      <c r="K53" s="83"/>
    </row>
    <row r="54" spans="1:13" s="7" customFormat="1" ht="15.75" x14ac:dyDescent="0.25">
      <c r="A54" s="17" t="s">
        <v>194</v>
      </c>
      <c r="B54" s="65"/>
      <c r="C54" s="111">
        <f>C51-C53</f>
        <v>29061.360000000001</v>
      </c>
      <c r="D54" s="111">
        <f>D51-D53</f>
        <v>60460</v>
      </c>
      <c r="E54" s="104">
        <f>C54+D54</f>
        <v>89521.36</v>
      </c>
      <c r="F54" s="12"/>
      <c r="G54" s="12"/>
    </row>
    <row r="55" spans="1:13" s="7" customFormat="1" ht="16.5" thickBot="1" x14ac:dyDescent="0.3">
      <c r="A55" s="223"/>
      <c r="B55" s="65"/>
      <c r="C55" s="111"/>
      <c r="D55" s="112"/>
      <c r="E55" s="104"/>
      <c r="F55" s="12"/>
      <c r="G55" s="12"/>
    </row>
    <row r="56" spans="1:13" s="7" customFormat="1" ht="16.5" thickTop="1" x14ac:dyDescent="0.25">
      <c r="A56" s="73" t="s">
        <v>36</v>
      </c>
      <c r="B56" s="71"/>
      <c r="C56" s="111">
        <f>C32/(1+'Per Unit Rate Calculations'!C6)*'Per Unit Rate Calculations'!C6</f>
        <v>2328.0570559999992</v>
      </c>
      <c r="D56" s="111">
        <f>D32/(1+'Per Unit Rate Calculations'!C6)*'Per Unit Rate Calculations'!C6</f>
        <v>2040.1079999999993</v>
      </c>
      <c r="E56" s="102">
        <f>C56+D56</f>
        <v>4368.165055999998</v>
      </c>
      <c r="F56" s="12"/>
      <c r="G56" s="12"/>
      <c r="H56" s="83"/>
      <c r="I56" s="83"/>
      <c r="J56" s="83"/>
      <c r="K56" s="83"/>
      <c r="L56" s="83"/>
      <c r="M56" s="83"/>
    </row>
    <row r="57" spans="1:13" s="7" customFormat="1" ht="15.75" x14ac:dyDescent="0.25">
      <c r="A57" s="63"/>
      <c r="B57" s="62"/>
      <c r="C57" s="113"/>
      <c r="D57" s="114"/>
      <c r="E57" s="94"/>
      <c r="F57" s="12"/>
      <c r="G57" s="12"/>
    </row>
    <row r="58" spans="1:13" s="8" customFormat="1" ht="16.5" thickBot="1" x14ac:dyDescent="0.3">
      <c r="A58" s="74" t="s">
        <v>30</v>
      </c>
      <c r="B58" s="75"/>
      <c r="C58" s="115">
        <f>C33-C51-C56-C53*D11+C53</f>
        <v>0</v>
      </c>
      <c r="D58" s="115">
        <f>D33-D51-D56-D53*F11+D53</f>
        <v>8.1854523159563541E-12</v>
      </c>
      <c r="E58" s="115">
        <f>C58+D58</f>
        <v>8.1854523159563541E-12</v>
      </c>
      <c r="F58" s="11"/>
      <c r="G58" s="12"/>
    </row>
    <row r="59" spans="1:13" ht="16.5" thickTop="1" x14ac:dyDescent="0.25">
      <c r="A59" s="44"/>
      <c r="B59" s="44"/>
      <c r="C59" s="44"/>
      <c r="D59" s="44"/>
      <c r="E59" s="44"/>
      <c r="F59" s="9"/>
      <c r="G59" s="12"/>
    </row>
    <row r="60" spans="1:13" x14ac:dyDescent="0.2">
      <c r="A60" s="1"/>
      <c r="B60" s="1"/>
      <c r="C60" s="1"/>
      <c r="D60" s="1"/>
      <c r="E60" s="1"/>
      <c r="F60" s="1"/>
      <c r="G60" s="1"/>
    </row>
    <row r="61" spans="1:13" s="1" customFormat="1" x14ac:dyDescent="0.2">
      <c r="A61"/>
      <c r="B61"/>
      <c r="C61"/>
      <c r="D61"/>
      <c r="E61"/>
      <c r="F61"/>
      <c r="G61"/>
    </row>
    <row r="62" spans="1:13" s="4" customFormat="1" x14ac:dyDescent="0.2">
      <c r="A62"/>
      <c r="B62"/>
      <c r="C62"/>
      <c r="D62"/>
      <c r="E62"/>
      <c r="F62"/>
      <c r="G62"/>
    </row>
    <row r="63" spans="1:13" s="4" customFormat="1" ht="12.95" customHeight="1" x14ac:dyDescent="0.2">
      <c r="A63"/>
      <c r="B63"/>
      <c r="C63"/>
      <c r="D63"/>
      <c r="E63"/>
      <c r="F63"/>
      <c r="G63"/>
    </row>
    <row r="64" spans="1:13" s="4" customFormat="1" x14ac:dyDescent="0.2">
      <c r="A64"/>
      <c r="B64"/>
      <c r="C64"/>
      <c r="D64"/>
      <c r="E64"/>
      <c r="F64"/>
      <c r="G64"/>
    </row>
    <row r="65" spans="1:10" s="4" customFormat="1" x14ac:dyDescent="0.2">
      <c r="A65"/>
      <c r="B65"/>
      <c r="C65"/>
      <c r="D65"/>
      <c r="E65"/>
      <c r="F65"/>
      <c r="G65"/>
      <c r="H65" s="91"/>
      <c r="I65" s="91"/>
      <c r="J65" s="91"/>
    </row>
    <row r="66" spans="1:10" x14ac:dyDescent="0.2">
      <c r="H66" s="8"/>
      <c r="I66" s="8"/>
      <c r="J66" s="8"/>
    </row>
    <row r="72" spans="1:10" ht="12.75" customHeight="1" x14ac:dyDescent="0.2"/>
    <row r="74" spans="1:10" s="10" customFormat="1" x14ac:dyDescent="0.2">
      <c r="A74"/>
      <c r="B74"/>
      <c r="C74"/>
      <c r="D74"/>
      <c r="E74"/>
      <c r="F74"/>
      <c r="G74"/>
    </row>
    <row r="75" spans="1:10" s="10" customFormat="1" x14ac:dyDescent="0.2">
      <c r="A75"/>
      <c r="B75"/>
      <c r="C75"/>
      <c r="D75"/>
      <c r="E75"/>
      <c r="F75"/>
      <c r="G75"/>
    </row>
    <row r="76" spans="1:10" s="10" customFormat="1" x14ac:dyDescent="0.2">
      <c r="A76"/>
      <c r="B76"/>
      <c r="C76"/>
      <c r="D76"/>
      <c r="E76"/>
      <c r="F76"/>
      <c r="G76"/>
    </row>
    <row r="77" spans="1:10" s="10" customFormat="1" x14ac:dyDescent="0.2">
      <c r="A77"/>
      <c r="B77"/>
      <c r="C77"/>
      <c r="D77"/>
      <c r="E77"/>
      <c r="F77"/>
      <c r="G77"/>
    </row>
    <row r="78" spans="1:10" s="10" customFormat="1" x14ac:dyDescent="0.2">
      <c r="A78"/>
      <c r="B78"/>
      <c r="C78"/>
      <c r="D78"/>
      <c r="E78"/>
      <c r="F78"/>
      <c r="G78"/>
    </row>
    <row r="79" spans="1:10" s="10" customFormat="1" x14ac:dyDescent="0.2">
      <c r="A79"/>
      <c r="B79"/>
      <c r="C79"/>
      <c r="D79"/>
      <c r="E79"/>
      <c r="F79"/>
      <c r="G79"/>
    </row>
    <row r="80" spans="1:10" s="10" customFormat="1" x14ac:dyDescent="0.2">
      <c r="A80"/>
      <c r="B80"/>
      <c r="C80"/>
      <c r="D80"/>
      <c r="E80"/>
      <c r="F80"/>
      <c r="G80"/>
    </row>
    <row r="81" spans="1:12" s="10" customFormat="1" x14ac:dyDescent="0.2">
      <c r="A81"/>
      <c r="B81"/>
      <c r="C81"/>
      <c r="D81"/>
      <c r="E81"/>
      <c r="F81"/>
      <c r="G81"/>
    </row>
    <row r="82" spans="1:12" s="10" customFormat="1" x14ac:dyDescent="0.2">
      <c r="A82"/>
      <c r="B82"/>
      <c r="C82"/>
      <c r="D82"/>
      <c r="E82"/>
      <c r="F82"/>
      <c r="G82"/>
    </row>
    <row r="83" spans="1:12" s="10" customFormat="1" x14ac:dyDescent="0.2">
      <c r="A83"/>
      <c r="B83"/>
      <c r="C83"/>
      <c r="D83"/>
      <c r="E83"/>
      <c r="F83"/>
      <c r="G83"/>
    </row>
    <row r="84" spans="1:12" s="10" customFormat="1" x14ac:dyDescent="0.2">
      <c r="A84"/>
      <c r="B84"/>
      <c r="C84"/>
      <c r="D84"/>
      <c r="E84"/>
      <c r="F84"/>
      <c r="G84"/>
    </row>
    <row r="85" spans="1:12" s="10" customFormat="1" x14ac:dyDescent="0.2">
      <c r="A85"/>
      <c r="B85"/>
      <c r="C85"/>
      <c r="D85"/>
      <c r="E85"/>
      <c r="F85"/>
      <c r="G85"/>
      <c r="H85" s="13"/>
      <c r="I85" s="13"/>
      <c r="J85" s="13"/>
      <c r="K85" s="9"/>
      <c r="L85" s="12"/>
    </row>
    <row r="86" spans="1:12" s="10" customFormat="1" x14ac:dyDescent="0.2">
      <c r="A86"/>
      <c r="B86"/>
      <c r="C86"/>
      <c r="D86"/>
      <c r="E86"/>
      <c r="F86"/>
      <c r="G86"/>
      <c r="H86" s="9"/>
      <c r="I86" s="9"/>
      <c r="J86" s="9"/>
      <c r="K86" s="9"/>
      <c r="L86" s="12"/>
    </row>
    <row r="87" spans="1:12" s="10" customFormat="1" x14ac:dyDescent="0.2">
      <c r="A87"/>
      <c r="B87"/>
      <c r="C87"/>
      <c r="D87"/>
      <c r="E87"/>
      <c r="F87"/>
      <c r="G87"/>
      <c r="H87" s="82"/>
      <c r="I87" s="82"/>
      <c r="J87" s="82"/>
      <c r="K87" s="9"/>
      <c r="L87" s="14"/>
    </row>
    <row r="88" spans="1:12" s="10" customFormat="1" x14ac:dyDescent="0.2">
      <c r="A88"/>
      <c r="B88"/>
      <c r="C88"/>
      <c r="D88"/>
      <c r="E88"/>
      <c r="F88"/>
      <c r="G88"/>
      <c r="H88" s="82"/>
      <c r="I88" s="82"/>
      <c r="J88" s="82"/>
      <c r="K88" s="9"/>
      <c r="L88" s="14"/>
    </row>
    <row r="89" spans="1:12" s="10" customFormat="1" x14ac:dyDescent="0.2">
      <c r="A89"/>
      <c r="B89"/>
      <c r="C89"/>
      <c r="D89"/>
      <c r="E89"/>
      <c r="F89"/>
      <c r="G89"/>
      <c r="H89" s="82"/>
      <c r="I89" s="82"/>
      <c r="J89" s="82"/>
      <c r="K89" s="9"/>
      <c r="L89" s="14"/>
    </row>
    <row r="90" spans="1:12" s="10" customFormat="1" x14ac:dyDescent="0.2">
      <c r="A90"/>
      <c r="B90"/>
      <c r="C90"/>
      <c r="D90"/>
      <c r="E90"/>
      <c r="F90"/>
      <c r="G90"/>
      <c r="H90" s="12"/>
      <c r="I90" s="12"/>
      <c r="J90" s="12"/>
      <c r="K90" s="12"/>
      <c r="L90" s="12"/>
    </row>
    <row r="91" spans="1:12" s="10" customFormat="1" x14ac:dyDescent="0.2">
      <c r="A91"/>
      <c r="B91"/>
      <c r="C91"/>
      <c r="D91"/>
      <c r="E91"/>
      <c r="F91"/>
      <c r="G91"/>
      <c r="H91" s="12"/>
      <c r="I91" s="12"/>
      <c r="J91" s="12"/>
      <c r="K91" s="12"/>
      <c r="L91" s="12"/>
    </row>
    <row r="92" spans="1:12" s="10" customFormat="1" x14ac:dyDescent="0.2">
      <c r="A92"/>
      <c r="B92"/>
      <c r="C92"/>
      <c r="D92"/>
      <c r="E92"/>
      <c r="F92"/>
      <c r="G92"/>
      <c r="H92" s="12"/>
      <c r="I92" s="12"/>
      <c r="J92" s="12"/>
      <c r="K92" s="12"/>
      <c r="L92" s="12"/>
    </row>
    <row r="93" spans="1:12" s="10" customFormat="1" x14ac:dyDescent="0.2">
      <c r="A93"/>
      <c r="B93"/>
      <c r="C93"/>
      <c r="D93"/>
      <c r="E93"/>
      <c r="F93"/>
      <c r="G93"/>
      <c r="H93" s="12"/>
      <c r="I93" s="12"/>
      <c r="J93" s="12"/>
      <c r="K93" s="12"/>
      <c r="L93" s="12"/>
    </row>
    <row r="94" spans="1:12" s="10" customFormat="1" x14ac:dyDescent="0.2">
      <c r="A94"/>
      <c r="B94"/>
      <c r="C94"/>
      <c r="D94"/>
      <c r="E94"/>
      <c r="F94"/>
      <c r="G94"/>
      <c r="H94" s="12"/>
      <c r="I94" s="12"/>
      <c r="J94" s="12"/>
      <c r="K94" s="12"/>
      <c r="L94" s="12"/>
    </row>
    <row r="95" spans="1:12" s="10" customFormat="1" x14ac:dyDescent="0.2">
      <c r="A95"/>
      <c r="B95"/>
      <c r="C95"/>
      <c r="D95"/>
      <c r="E95"/>
      <c r="F95"/>
      <c r="G95"/>
      <c r="H95" s="12"/>
      <c r="I95" s="12"/>
      <c r="J95" s="12"/>
      <c r="K95" s="12"/>
      <c r="L95" s="12"/>
    </row>
    <row r="96" spans="1:12" s="10" customFormat="1" x14ac:dyDescent="0.2">
      <c r="A96"/>
      <c r="B96"/>
      <c r="C96"/>
      <c r="D96"/>
      <c r="E96"/>
      <c r="F96"/>
      <c r="G96"/>
      <c r="H96" s="12"/>
      <c r="I96" s="12"/>
      <c r="J96" s="12"/>
      <c r="K96" s="12"/>
      <c r="L96" s="12"/>
    </row>
    <row r="97" spans="1:12" s="10" customFormat="1" x14ac:dyDescent="0.2">
      <c r="A97"/>
      <c r="B97"/>
      <c r="C97"/>
      <c r="D97"/>
      <c r="E97"/>
      <c r="F97"/>
      <c r="G97"/>
      <c r="H97" s="12"/>
      <c r="I97" s="12"/>
      <c r="J97" s="12"/>
      <c r="K97" s="12"/>
      <c r="L97" s="12"/>
    </row>
    <row r="98" spans="1:12" s="10" customFormat="1" x14ac:dyDescent="0.2">
      <c r="A98"/>
      <c r="B98"/>
      <c r="C98"/>
      <c r="D98"/>
      <c r="E98"/>
      <c r="F98"/>
      <c r="G98"/>
      <c r="H98" s="12"/>
      <c r="I98" s="12"/>
      <c r="J98" s="12"/>
      <c r="K98" s="12"/>
      <c r="L98" s="12"/>
    </row>
    <row r="99" spans="1:12" s="10" customFormat="1" x14ac:dyDescent="0.2">
      <c r="A99"/>
      <c r="B99"/>
      <c r="C99"/>
      <c r="D99"/>
      <c r="E99"/>
      <c r="F99"/>
      <c r="G99"/>
      <c r="H99" s="12"/>
      <c r="I99" s="12"/>
      <c r="J99" s="12"/>
      <c r="K99" s="12"/>
      <c r="L99" s="12"/>
    </row>
    <row r="100" spans="1:12" s="10" customFormat="1" x14ac:dyDescent="0.2">
      <c r="A100"/>
      <c r="B100"/>
      <c r="C100"/>
      <c r="D100"/>
      <c r="E100"/>
      <c r="F100"/>
      <c r="G100"/>
      <c r="H100" s="12"/>
      <c r="I100" s="12"/>
      <c r="J100" s="12"/>
      <c r="K100" s="12"/>
      <c r="L100" s="12"/>
    </row>
    <row r="101" spans="1:12" s="1" customFormat="1" x14ac:dyDescent="0.2">
      <c r="A101"/>
      <c r="B101"/>
      <c r="C101"/>
      <c r="D101"/>
      <c r="E101"/>
      <c r="F101"/>
      <c r="G101"/>
    </row>
  </sheetData>
  <mergeCells count="6">
    <mergeCell ref="A1:I1"/>
    <mergeCell ref="C19:D19"/>
    <mergeCell ref="A46:B46"/>
    <mergeCell ref="C28:D28"/>
    <mergeCell ref="C8:F8"/>
    <mergeCell ref="B3:E3"/>
  </mergeCells>
  <phoneticPr fontId="0" type="noConversion"/>
  <pageMargins left="0.5" right="0.5" top="0.5" bottom="0.5" header="0.5" footer="0.5"/>
  <pageSetup scale="65" orientation="portrait" horizontalDpi="300" verticalDpi="300" r:id="rId1"/>
  <headerFooter alignWithMargins="0">
    <oddFooter>&amp;L&amp;9Budget Office_&amp;F/&amp;A_Updated 7/20/2015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Per Unit Rate Calculations</vt:lpstr>
      <vt:lpstr>Depreciation</vt:lpstr>
      <vt:lpstr>Per Hour Rate Calculations</vt:lpstr>
      <vt:lpstr>Mark-up</vt:lpstr>
      <vt:lpstr>Statement of Operations</vt:lpstr>
      <vt:lpstr>Depreciation!Print_Area</vt:lpstr>
      <vt:lpstr>'Per Hour Rate Calculations'!Print_Area</vt:lpstr>
      <vt:lpstr>'Per Unit Rate Calculations'!Print_Area</vt:lpstr>
      <vt:lpstr>'Statement of Operations'!Print_Area</vt:lpstr>
      <vt:lpstr>Depreciation!Print_Titles</vt:lpstr>
    </vt:vector>
  </TitlesOfParts>
  <Company>UCSD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Ninh Nguyen</dc:creator>
  <cp:lastModifiedBy>May Wang</cp:lastModifiedBy>
  <cp:lastPrinted>2015-07-21T15:28:00Z</cp:lastPrinted>
  <dcterms:created xsi:type="dcterms:W3CDTF">2005-06-29T20:46:51Z</dcterms:created>
  <dcterms:modified xsi:type="dcterms:W3CDTF">2022-07-22T22:01:52Z</dcterms:modified>
</cp:coreProperties>
</file>